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Werkbestanden\"/>
    </mc:Choice>
  </mc:AlternateContent>
  <workbookProtection workbookAlgorithmName="SHA-512" workbookHashValue="GCaa4h+/k1z75s+XSWlcXxxizb9yFdKTQ7v3d8wsxGk1yI02xlL7Tj+ioR6MStxEJoyQXJ6PsouydNXc6Pm7Eg==" workbookSaltValue="qg7YBGdl7IOLM2HbtzTXeQ==" workbookSpinCount="100000" lockStructure="1"/>
  <bookViews>
    <workbookView xWindow="0" yWindow="0" windowWidth="25200" windowHeight="12195" tabRatio="599"/>
  </bookViews>
  <sheets>
    <sheet name="Macrogegevens" sheetId="4" r:id="rId1"/>
    <sheet name="Balansprognose" sheetId="6" r:id="rId2"/>
    <sheet name="Investeringen &amp; financiering" sheetId="3" r:id="rId3"/>
    <sheet name="Inkomsten &amp; uitgaven" sheetId="1" r:id="rId4"/>
    <sheet name="Data macrogegevens" sheetId="23" state="hidden" r:id="rId5"/>
    <sheet name="Kengetallen 2016" sheetId="20" state="hidden" r:id="rId6"/>
    <sheet name="Data OZB belastingen" sheetId="21" state="hidden" r:id="rId7"/>
    <sheet name="Data investeringen" sheetId="7" state="hidden" r:id="rId8"/>
    <sheet name="Inkomsten 2018" sheetId="22" state="hidden" r:id="rId9"/>
  </sheets>
  <definedNames>
    <definedName name="_xlnm._FilterDatabase" localSheetId="0" hidden="1">Macrogegevens!$A$1:$C$19</definedName>
  </definedNames>
  <calcPr calcId="162913"/>
  <customWorkbookViews>
    <customWorkbookView name="Jan van der Lei  - Persoonlijke weergave" guid="{B41B624D-DA5C-4FA3-85F1-D5B8087B6A65}" mergeInterval="0" personalView="1" maximized="1" xWindow="1" yWindow="1" windowWidth="1676" windowHeight="832" activeSheetId="1"/>
  </customWorkbookViews>
  <fileRecoveryPr repairLoad="1"/>
</workbook>
</file>

<file path=xl/calcChain.xml><?xml version="1.0" encoding="utf-8"?>
<calcChain xmlns="http://schemas.openxmlformats.org/spreadsheetml/2006/main">
  <c r="Z419" i="7" l="1"/>
  <c r="Y419" i="7"/>
  <c r="X419" i="7"/>
  <c r="W419" i="7"/>
  <c r="V419" i="7"/>
  <c r="U419" i="7"/>
  <c r="T419" i="7"/>
  <c r="S419" i="7"/>
  <c r="R419" i="7"/>
  <c r="Q419" i="7"/>
  <c r="P419" i="7"/>
  <c r="O419" i="7"/>
  <c r="N419" i="7"/>
  <c r="M419" i="7"/>
  <c r="L419" i="7"/>
  <c r="K419" i="7"/>
  <c r="F419" i="7"/>
  <c r="E419" i="7"/>
  <c r="D419" i="7"/>
  <c r="C419" i="7"/>
  <c r="F418" i="7"/>
  <c r="E418" i="7"/>
  <c r="D418" i="7"/>
  <c r="C418" i="7"/>
  <c r="F417" i="7"/>
  <c r="E417" i="7"/>
  <c r="D417" i="7"/>
  <c r="C417" i="7"/>
  <c r="Z415" i="7"/>
  <c r="Y415" i="7"/>
  <c r="X415" i="7"/>
  <c r="W415" i="7"/>
  <c r="V415" i="7"/>
  <c r="U415" i="7"/>
  <c r="T415" i="7"/>
  <c r="S415" i="7"/>
  <c r="R415" i="7"/>
  <c r="Q415" i="7"/>
  <c r="P415" i="7"/>
  <c r="O415" i="7"/>
  <c r="N415" i="7"/>
  <c r="M415" i="7"/>
  <c r="L415" i="7"/>
  <c r="K415" i="7"/>
  <c r="F415" i="7"/>
  <c r="E415" i="7"/>
  <c r="D415" i="7"/>
  <c r="C415" i="7"/>
  <c r="Z413" i="7"/>
  <c r="Y413" i="7"/>
  <c r="X413" i="7"/>
  <c r="W413" i="7"/>
  <c r="V413" i="7"/>
  <c r="U413" i="7"/>
  <c r="T413" i="7"/>
  <c r="S413" i="7"/>
  <c r="R413" i="7"/>
  <c r="Q413" i="7"/>
  <c r="P413" i="7"/>
  <c r="O413" i="7"/>
  <c r="N413" i="7"/>
  <c r="M413" i="7"/>
  <c r="L413" i="7"/>
  <c r="K413" i="7"/>
  <c r="F413" i="7"/>
  <c r="E413" i="7"/>
  <c r="D413" i="7"/>
  <c r="C413" i="7"/>
  <c r="F412" i="7"/>
  <c r="E412" i="7"/>
  <c r="D412" i="7"/>
  <c r="C412" i="7"/>
  <c r="Z410" i="7"/>
  <c r="Y410" i="7"/>
  <c r="X410" i="7"/>
  <c r="W410" i="7"/>
  <c r="V410" i="7"/>
  <c r="U410" i="7"/>
  <c r="T410" i="7"/>
  <c r="S410" i="7"/>
  <c r="R410" i="7"/>
  <c r="Q410" i="7"/>
  <c r="P410" i="7"/>
  <c r="O410" i="7"/>
  <c r="N410" i="7"/>
  <c r="M410" i="7"/>
  <c r="L410" i="7"/>
  <c r="K410" i="7"/>
  <c r="F410" i="7"/>
  <c r="E410" i="7"/>
  <c r="D410" i="7"/>
  <c r="C410" i="7"/>
  <c r="F409" i="7"/>
  <c r="E409" i="7"/>
  <c r="D409" i="7"/>
  <c r="C409" i="7"/>
  <c r="F408" i="7"/>
  <c r="E408" i="7"/>
  <c r="D408" i="7"/>
  <c r="C408" i="7"/>
  <c r="Z407" i="7"/>
  <c r="Y407" i="7"/>
  <c r="X407" i="7"/>
  <c r="W407" i="7"/>
  <c r="V407" i="7"/>
  <c r="U407" i="7"/>
  <c r="T407" i="7"/>
  <c r="S407" i="7"/>
  <c r="R407" i="7"/>
  <c r="Q407" i="7"/>
  <c r="P407" i="7"/>
  <c r="O407" i="7"/>
  <c r="N407" i="7"/>
  <c r="M407" i="7"/>
  <c r="L407" i="7"/>
  <c r="K407" i="7"/>
  <c r="F407" i="7"/>
  <c r="E407" i="7"/>
  <c r="D407" i="7"/>
  <c r="C407" i="7"/>
  <c r="V404" i="7"/>
  <c r="U404" i="7"/>
  <c r="T404" i="7"/>
  <c r="S404" i="7"/>
  <c r="R404" i="7"/>
  <c r="Q404" i="7"/>
  <c r="P404" i="7"/>
  <c r="O404" i="7"/>
  <c r="N404" i="7"/>
  <c r="M404" i="7"/>
  <c r="L404" i="7"/>
  <c r="K404" i="7"/>
  <c r="E404" i="7"/>
  <c r="E403" i="7"/>
  <c r="E402" i="7"/>
  <c r="E401" i="7"/>
  <c r="Z399" i="7"/>
  <c r="Y399" i="7"/>
  <c r="X399" i="7"/>
  <c r="W399" i="7"/>
  <c r="V399" i="7"/>
  <c r="U399" i="7"/>
  <c r="T399" i="7"/>
  <c r="S399" i="7"/>
  <c r="R399" i="7"/>
  <c r="Q399" i="7"/>
  <c r="P399" i="7"/>
  <c r="O399" i="7"/>
  <c r="N399" i="7"/>
  <c r="M399" i="7"/>
  <c r="L399" i="7"/>
  <c r="K399" i="7"/>
  <c r="F399" i="7"/>
  <c r="E399" i="7"/>
  <c r="D399" i="7"/>
  <c r="C399" i="7"/>
  <c r="F398" i="7"/>
  <c r="E398" i="7"/>
  <c r="D398" i="7"/>
  <c r="C398" i="7"/>
  <c r="F397" i="7"/>
  <c r="E397" i="7"/>
  <c r="D397" i="7"/>
  <c r="C397" i="7"/>
  <c r="F396" i="7"/>
  <c r="E396" i="7"/>
  <c r="D396" i="7"/>
  <c r="C396" i="7"/>
  <c r="Z394" i="7"/>
  <c r="Y394" i="7"/>
  <c r="X394" i="7"/>
  <c r="W394" i="7"/>
  <c r="V394" i="7"/>
  <c r="U394" i="7"/>
  <c r="T394" i="7"/>
  <c r="S394" i="7"/>
  <c r="R394" i="7"/>
  <c r="Q394" i="7"/>
  <c r="P394" i="7"/>
  <c r="O394" i="7"/>
  <c r="N394" i="7"/>
  <c r="M394" i="7"/>
  <c r="L394" i="7"/>
  <c r="K394" i="7"/>
  <c r="F394" i="7"/>
  <c r="E394" i="7"/>
  <c r="D394" i="7"/>
  <c r="C394" i="7"/>
  <c r="F393" i="7"/>
  <c r="E393" i="7"/>
  <c r="D393" i="7"/>
  <c r="C393" i="7"/>
  <c r="F392" i="7"/>
  <c r="E392" i="7"/>
  <c r="D392" i="7"/>
  <c r="C392" i="7"/>
  <c r="F391" i="7"/>
  <c r="E391" i="7"/>
  <c r="D391" i="7"/>
  <c r="C391" i="7"/>
  <c r="Z390" i="7"/>
  <c r="Y390" i="7"/>
  <c r="X390" i="7"/>
  <c r="W390" i="7"/>
  <c r="V390" i="7"/>
  <c r="U390" i="7"/>
  <c r="T390" i="7"/>
  <c r="S390" i="7"/>
  <c r="R390" i="7"/>
  <c r="Q390" i="7"/>
  <c r="P390" i="7"/>
  <c r="O390" i="7"/>
  <c r="N390" i="7"/>
  <c r="M390" i="7"/>
  <c r="L390" i="7"/>
  <c r="K390" i="7"/>
  <c r="F390" i="7"/>
  <c r="E390" i="7"/>
  <c r="D390" i="7"/>
  <c r="C390" i="7"/>
  <c r="Z386" i="7"/>
  <c r="Y386" i="7"/>
  <c r="X386" i="7"/>
  <c r="W386" i="7"/>
  <c r="V386" i="7"/>
  <c r="U386" i="7"/>
  <c r="T386" i="7"/>
  <c r="S386" i="7"/>
  <c r="R386" i="7"/>
  <c r="Q386" i="7"/>
  <c r="P386" i="7"/>
  <c r="O386" i="7"/>
  <c r="N386" i="7"/>
  <c r="M386" i="7"/>
  <c r="L386" i="7"/>
  <c r="K386" i="7"/>
  <c r="F386" i="7"/>
  <c r="E386" i="7"/>
  <c r="D386" i="7"/>
  <c r="C386" i="7"/>
  <c r="F385" i="7"/>
  <c r="E385" i="7"/>
  <c r="D385" i="7"/>
  <c r="C385" i="7"/>
  <c r="F384" i="7"/>
  <c r="E384" i="7"/>
  <c r="D384" i="7"/>
  <c r="C384" i="7"/>
  <c r="Y382" i="7"/>
  <c r="X382" i="7"/>
  <c r="W382" i="7"/>
  <c r="V382" i="7"/>
  <c r="U382" i="7"/>
  <c r="T382" i="7"/>
  <c r="S382" i="7"/>
  <c r="R382" i="7"/>
  <c r="Q382" i="7"/>
  <c r="P382" i="7"/>
  <c r="O382" i="7"/>
  <c r="N382" i="7"/>
  <c r="M382" i="7"/>
  <c r="L382" i="7"/>
  <c r="K382" i="7"/>
  <c r="J382" i="7"/>
  <c r="I382" i="7"/>
  <c r="H382" i="7"/>
  <c r="G382" i="7"/>
  <c r="F382" i="7"/>
  <c r="E382" i="7"/>
  <c r="D382" i="7"/>
  <c r="C382" i="7"/>
  <c r="G381" i="7"/>
  <c r="F381" i="7"/>
  <c r="E381" i="7"/>
  <c r="D381" i="7"/>
  <c r="C381" i="7"/>
  <c r="G380" i="7"/>
  <c r="F380" i="7"/>
  <c r="E380" i="7"/>
  <c r="D380" i="7"/>
  <c r="C380" i="7"/>
  <c r="G379" i="7"/>
  <c r="F379" i="7"/>
  <c r="E379" i="7"/>
  <c r="D379" i="7"/>
  <c r="C379" i="7"/>
  <c r="G378" i="7"/>
  <c r="F378" i="7"/>
  <c r="E378" i="7"/>
  <c r="D378" i="7"/>
  <c r="C378" i="7"/>
  <c r="G377" i="7"/>
  <c r="F377" i="7"/>
  <c r="E377" i="7"/>
  <c r="D377" i="7"/>
  <c r="C377" i="7"/>
  <c r="G376" i="7"/>
  <c r="F376" i="7"/>
  <c r="E376" i="7"/>
  <c r="D376" i="7"/>
  <c r="C376" i="7"/>
  <c r="G375" i="7"/>
  <c r="F375" i="7"/>
  <c r="E375" i="7"/>
  <c r="D375" i="7"/>
  <c r="C375" i="7"/>
  <c r="G374" i="7"/>
  <c r="F374" i="7"/>
  <c r="E374" i="7"/>
  <c r="D374" i="7"/>
  <c r="C374" i="7"/>
  <c r="G373" i="7"/>
  <c r="F373" i="7"/>
  <c r="E373" i="7"/>
  <c r="D373" i="7"/>
  <c r="C373" i="7"/>
  <c r="G372" i="7"/>
  <c r="G371" i="7"/>
  <c r="F371" i="7"/>
  <c r="E371" i="7"/>
  <c r="D371" i="7"/>
  <c r="C371" i="7"/>
  <c r="G370" i="7"/>
  <c r="F370" i="7"/>
  <c r="E370" i="7"/>
  <c r="D370" i="7"/>
  <c r="C370" i="7"/>
  <c r="G369" i="7"/>
  <c r="F369" i="7"/>
  <c r="E369" i="7"/>
  <c r="D369" i="7"/>
  <c r="C369" i="7"/>
  <c r="G368" i="7"/>
  <c r="F368" i="7"/>
  <c r="E368" i="7"/>
  <c r="D368" i="7"/>
  <c r="C368" i="7"/>
  <c r="G367" i="7"/>
  <c r="F367" i="7"/>
  <c r="E367" i="7"/>
  <c r="D367" i="7"/>
  <c r="C367" i="7"/>
  <c r="G366" i="7"/>
  <c r="F366" i="7"/>
  <c r="E366" i="7"/>
  <c r="D366" i="7"/>
  <c r="C366" i="7"/>
  <c r="G365" i="7"/>
  <c r="F365" i="7"/>
  <c r="E365" i="7"/>
  <c r="D365" i="7"/>
  <c r="C365" i="7"/>
  <c r="G364" i="7"/>
  <c r="F364" i="7"/>
  <c r="E364" i="7"/>
  <c r="D364" i="7"/>
  <c r="C364" i="7"/>
  <c r="G363" i="7"/>
  <c r="F363" i="7"/>
  <c r="E363" i="7"/>
  <c r="D363" i="7"/>
  <c r="C363" i="7"/>
  <c r="G362" i="7"/>
  <c r="F362" i="7"/>
  <c r="E362" i="7"/>
  <c r="D362" i="7"/>
  <c r="C362" i="7"/>
  <c r="G361" i="7"/>
  <c r="F361" i="7"/>
  <c r="E361" i="7"/>
  <c r="D361" i="7"/>
  <c r="C361" i="7"/>
  <c r="G360" i="7"/>
  <c r="F360" i="7"/>
  <c r="E360" i="7"/>
  <c r="D360" i="7"/>
  <c r="C360" i="7"/>
  <c r="G359" i="7"/>
  <c r="F359" i="7"/>
  <c r="E359" i="7"/>
  <c r="D359" i="7"/>
  <c r="C359" i="7"/>
  <c r="G358" i="7"/>
  <c r="F358" i="7"/>
  <c r="E358" i="7"/>
  <c r="D358" i="7"/>
  <c r="C358" i="7"/>
  <c r="G357" i="7"/>
  <c r="F357" i="7"/>
  <c r="E357" i="7"/>
  <c r="D357" i="7"/>
  <c r="C357" i="7"/>
  <c r="G356" i="7"/>
  <c r="F356" i="7"/>
  <c r="E356" i="7"/>
  <c r="D356" i="7"/>
  <c r="C356" i="7"/>
  <c r="G355" i="7"/>
  <c r="F355" i="7"/>
  <c r="E355" i="7"/>
  <c r="D355" i="7"/>
  <c r="C355" i="7"/>
  <c r="G354" i="7"/>
  <c r="F354" i="7"/>
  <c r="E354" i="7"/>
  <c r="D354" i="7"/>
  <c r="C354" i="7"/>
  <c r="G353" i="7"/>
  <c r="F353" i="7"/>
  <c r="E353" i="7"/>
  <c r="D353" i="7"/>
  <c r="C353" i="7"/>
  <c r="G352" i="7"/>
  <c r="F352" i="7"/>
  <c r="E352" i="7"/>
  <c r="D352" i="7"/>
  <c r="C352" i="7"/>
  <c r="G351" i="7"/>
  <c r="G350" i="7"/>
  <c r="F350" i="7"/>
  <c r="E350" i="7"/>
  <c r="D350" i="7"/>
  <c r="C350" i="7"/>
  <c r="G349" i="7"/>
  <c r="F349" i="7"/>
  <c r="E349" i="7"/>
  <c r="D349" i="7"/>
  <c r="C349" i="7"/>
  <c r="G348" i="7"/>
  <c r="F348" i="7"/>
  <c r="E348" i="7"/>
  <c r="D348" i="7"/>
  <c r="C348" i="7"/>
  <c r="G347" i="7"/>
  <c r="F347" i="7"/>
  <c r="E347" i="7"/>
  <c r="D347" i="7"/>
  <c r="C347" i="7"/>
  <c r="G346" i="7"/>
  <c r="F346" i="7"/>
  <c r="E346" i="7"/>
  <c r="D346" i="7"/>
  <c r="C346" i="7"/>
  <c r="G345" i="7"/>
  <c r="F345" i="7"/>
  <c r="E345" i="7"/>
  <c r="D345" i="7"/>
  <c r="C345" i="7"/>
  <c r="G344" i="7"/>
  <c r="F344" i="7"/>
  <c r="E344" i="7"/>
  <c r="D344" i="7"/>
  <c r="C344" i="7"/>
  <c r="G343" i="7"/>
  <c r="F343" i="7"/>
  <c r="E343" i="7"/>
  <c r="D343" i="7"/>
  <c r="C343" i="7"/>
  <c r="G342" i="7"/>
  <c r="F342" i="7"/>
  <c r="E342" i="7"/>
  <c r="D342" i="7"/>
  <c r="C342" i="7"/>
  <c r="G341" i="7"/>
  <c r="F341" i="7"/>
  <c r="E341" i="7"/>
  <c r="D341" i="7"/>
  <c r="C341" i="7"/>
  <c r="G340" i="7"/>
  <c r="F340" i="7"/>
  <c r="E340" i="7"/>
  <c r="D340" i="7"/>
  <c r="C340" i="7"/>
  <c r="G339" i="7"/>
  <c r="F339" i="7"/>
  <c r="E339" i="7"/>
  <c r="D339" i="7"/>
  <c r="C339" i="7"/>
  <c r="G338" i="7"/>
  <c r="G337" i="7"/>
  <c r="F337" i="7"/>
  <c r="E337" i="7"/>
  <c r="D337" i="7"/>
  <c r="C337" i="7"/>
  <c r="G336" i="7"/>
  <c r="F336" i="7"/>
  <c r="E336" i="7"/>
  <c r="D336" i="7"/>
  <c r="C336" i="7"/>
  <c r="G335" i="7"/>
  <c r="F335" i="7"/>
  <c r="E335" i="7"/>
  <c r="D335" i="7"/>
  <c r="C335" i="7"/>
  <c r="G334" i="7"/>
  <c r="F334" i="7"/>
  <c r="E334" i="7"/>
  <c r="D334" i="7"/>
  <c r="C334" i="7"/>
  <c r="G333" i="7"/>
  <c r="F333" i="7"/>
  <c r="E333" i="7"/>
  <c r="D333" i="7"/>
  <c r="C333" i="7"/>
  <c r="G332" i="7"/>
  <c r="F332" i="7"/>
  <c r="E332" i="7"/>
  <c r="D332" i="7"/>
  <c r="C332" i="7"/>
  <c r="G331" i="7"/>
  <c r="F331" i="7"/>
  <c r="E331" i="7"/>
  <c r="D331" i="7"/>
  <c r="C331" i="7"/>
  <c r="G330" i="7"/>
  <c r="F330" i="7"/>
  <c r="E330" i="7"/>
  <c r="D330" i="7"/>
  <c r="C330" i="7"/>
  <c r="G329" i="7"/>
  <c r="F329" i="7"/>
  <c r="E329" i="7"/>
  <c r="D329" i="7"/>
  <c r="C329" i="7"/>
  <c r="G328" i="7"/>
  <c r="F328" i="7"/>
  <c r="E328" i="7"/>
  <c r="D328" i="7"/>
  <c r="C328" i="7"/>
  <c r="G327" i="7"/>
  <c r="F327" i="7"/>
  <c r="E327" i="7"/>
  <c r="D327" i="7"/>
  <c r="C327" i="7"/>
  <c r="G326" i="7"/>
  <c r="F326" i="7"/>
  <c r="E326" i="7"/>
  <c r="D326" i="7"/>
  <c r="C326" i="7"/>
  <c r="G325" i="7"/>
  <c r="F325" i="7"/>
  <c r="E325" i="7"/>
  <c r="D325" i="7"/>
  <c r="C325" i="7"/>
  <c r="G324" i="7"/>
  <c r="F324" i="7"/>
  <c r="E324" i="7"/>
  <c r="D324" i="7"/>
  <c r="C324" i="7"/>
  <c r="G323" i="7"/>
  <c r="F323" i="7"/>
  <c r="E323" i="7"/>
  <c r="D323" i="7"/>
  <c r="C323" i="7"/>
  <c r="G322" i="7"/>
  <c r="F322" i="7"/>
  <c r="E322" i="7"/>
  <c r="D322" i="7"/>
  <c r="C322" i="7"/>
  <c r="G321" i="7"/>
  <c r="F321" i="7"/>
  <c r="E321" i="7"/>
  <c r="D321" i="7"/>
  <c r="C321" i="7"/>
  <c r="G320" i="7"/>
  <c r="F320" i="7"/>
  <c r="E320" i="7"/>
  <c r="D320" i="7"/>
  <c r="C320" i="7"/>
  <c r="G319" i="7"/>
  <c r="F319" i="7"/>
  <c r="E319" i="7"/>
  <c r="D319" i="7"/>
  <c r="C319" i="7"/>
  <c r="G318" i="7"/>
  <c r="F318" i="7"/>
  <c r="E318" i="7"/>
  <c r="D318" i="7"/>
  <c r="C318" i="7"/>
  <c r="G317" i="7"/>
  <c r="F317" i="7"/>
  <c r="E317" i="7"/>
  <c r="D317" i="7"/>
  <c r="C317" i="7"/>
  <c r="G316" i="7"/>
  <c r="F316" i="7"/>
  <c r="E316" i="7"/>
  <c r="D316" i="7"/>
  <c r="C316" i="7"/>
  <c r="G315" i="7"/>
  <c r="F315" i="7"/>
  <c r="E315" i="7"/>
  <c r="D315" i="7"/>
  <c r="C315" i="7"/>
  <c r="G314" i="7"/>
  <c r="F314" i="7"/>
  <c r="E314" i="7"/>
  <c r="D314" i="7"/>
  <c r="C314" i="7"/>
  <c r="G313" i="7"/>
  <c r="F313" i="7"/>
  <c r="E313" i="7"/>
  <c r="D313" i="7"/>
  <c r="C313" i="7"/>
  <c r="G312" i="7"/>
  <c r="F312" i="7"/>
  <c r="E312" i="7"/>
  <c r="D312" i="7"/>
  <c r="C312" i="7"/>
  <c r="G311" i="7"/>
  <c r="F311" i="7"/>
  <c r="E311" i="7"/>
  <c r="D311" i="7"/>
  <c r="C311" i="7"/>
  <c r="G310" i="7"/>
  <c r="F310" i="7"/>
  <c r="E310" i="7"/>
  <c r="D310" i="7"/>
  <c r="C310" i="7"/>
  <c r="G309" i="7"/>
  <c r="F309" i="7"/>
  <c r="E309" i="7"/>
  <c r="D309" i="7"/>
  <c r="C309" i="7"/>
  <c r="G308" i="7"/>
  <c r="F308" i="7"/>
  <c r="E308" i="7"/>
  <c r="D308" i="7"/>
  <c r="C308" i="7"/>
  <c r="G307" i="7"/>
  <c r="F307" i="7"/>
  <c r="E307" i="7"/>
  <c r="D307" i="7"/>
  <c r="C307" i="7"/>
  <c r="G306" i="7"/>
  <c r="F306" i="7"/>
  <c r="E306" i="7"/>
  <c r="D306" i="7"/>
  <c r="C306" i="7"/>
  <c r="G305" i="7"/>
  <c r="F305" i="7"/>
  <c r="E305" i="7"/>
  <c r="D305" i="7"/>
  <c r="C305" i="7"/>
  <c r="G304" i="7"/>
  <c r="F304" i="7"/>
  <c r="E304" i="7"/>
  <c r="D304" i="7"/>
  <c r="C304" i="7"/>
  <c r="G303" i="7"/>
  <c r="F303" i="7"/>
  <c r="E303" i="7"/>
  <c r="D303" i="7"/>
  <c r="C303" i="7"/>
  <c r="G302" i="7"/>
  <c r="F302" i="7"/>
  <c r="E302" i="7"/>
  <c r="D302" i="7"/>
  <c r="C302" i="7"/>
  <c r="G301" i="7"/>
  <c r="G300" i="7"/>
  <c r="F300" i="7"/>
  <c r="E300" i="7"/>
  <c r="D300" i="7"/>
  <c r="C300" i="7"/>
  <c r="G299" i="7"/>
  <c r="F299" i="7"/>
  <c r="E299" i="7"/>
  <c r="D299" i="7"/>
  <c r="C299" i="7"/>
  <c r="G298" i="7"/>
  <c r="F298" i="7"/>
  <c r="E298" i="7"/>
  <c r="D298" i="7"/>
  <c r="C298" i="7"/>
  <c r="G297" i="7"/>
  <c r="F297" i="7"/>
  <c r="E297" i="7"/>
  <c r="D297" i="7"/>
  <c r="C297" i="7"/>
  <c r="G296" i="7"/>
  <c r="F296" i="7"/>
  <c r="E296" i="7"/>
  <c r="D296" i="7"/>
  <c r="C296" i="7"/>
  <c r="G295" i="7"/>
  <c r="F295" i="7"/>
  <c r="E295" i="7"/>
  <c r="D295" i="7"/>
  <c r="C295" i="7"/>
  <c r="G294" i="7"/>
  <c r="F294" i="7"/>
  <c r="E294" i="7"/>
  <c r="D294" i="7"/>
  <c r="C294" i="7"/>
  <c r="G293" i="7"/>
  <c r="F293" i="7"/>
  <c r="E293" i="7"/>
  <c r="D293" i="7"/>
  <c r="C293" i="7"/>
  <c r="G292" i="7"/>
  <c r="F292" i="7"/>
  <c r="E292" i="7"/>
  <c r="D292" i="7"/>
  <c r="C292" i="7"/>
  <c r="G291" i="7"/>
  <c r="F291" i="7"/>
  <c r="E291" i="7"/>
  <c r="D291" i="7"/>
  <c r="C291" i="7"/>
  <c r="G290" i="7"/>
  <c r="F290" i="7"/>
  <c r="E290" i="7"/>
  <c r="D290" i="7"/>
  <c r="C290" i="7"/>
  <c r="G289" i="7"/>
  <c r="F289" i="7"/>
  <c r="E289" i="7"/>
  <c r="D289" i="7"/>
  <c r="C289" i="7"/>
  <c r="G288" i="7"/>
  <c r="F288" i="7"/>
  <c r="E288" i="7"/>
  <c r="D288" i="7"/>
  <c r="C288" i="7"/>
  <c r="G287" i="7"/>
  <c r="F287" i="7"/>
  <c r="E287" i="7"/>
  <c r="D287" i="7"/>
  <c r="C287" i="7"/>
  <c r="G286" i="7"/>
  <c r="F286" i="7"/>
  <c r="E286" i="7"/>
  <c r="D286" i="7"/>
  <c r="C286" i="7"/>
  <c r="G285" i="7"/>
  <c r="F285" i="7"/>
  <c r="E285" i="7"/>
  <c r="D285" i="7"/>
  <c r="C285" i="7"/>
  <c r="G284" i="7"/>
  <c r="F284" i="7"/>
  <c r="E284" i="7"/>
  <c r="D284" i="7"/>
  <c r="C284" i="7"/>
  <c r="G283" i="7"/>
  <c r="F283" i="7"/>
  <c r="E283" i="7"/>
  <c r="D283" i="7"/>
  <c r="C283" i="7"/>
  <c r="G282" i="7"/>
  <c r="F282" i="7"/>
  <c r="E282" i="7"/>
  <c r="D282" i="7"/>
  <c r="C282" i="7"/>
  <c r="G281" i="7"/>
  <c r="F281" i="7"/>
  <c r="E281" i="7"/>
  <c r="D281" i="7"/>
  <c r="C281" i="7"/>
  <c r="G280" i="7"/>
  <c r="F280" i="7"/>
  <c r="E280" i="7"/>
  <c r="D280" i="7"/>
  <c r="C280" i="7"/>
  <c r="G279" i="7"/>
  <c r="F279" i="7"/>
  <c r="E279" i="7"/>
  <c r="D279" i="7"/>
  <c r="C279" i="7"/>
  <c r="G278" i="7"/>
  <c r="F278" i="7"/>
  <c r="E278" i="7"/>
  <c r="D278" i="7"/>
  <c r="C278" i="7"/>
  <c r="G277" i="7"/>
  <c r="F277" i="7"/>
  <c r="E277" i="7"/>
  <c r="D277" i="7"/>
  <c r="C277" i="7"/>
  <c r="G276" i="7"/>
  <c r="F276" i="7"/>
  <c r="E276" i="7"/>
  <c r="D276" i="7"/>
  <c r="C276" i="7"/>
  <c r="G275" i="7"/>
  <c r="F275" i="7"/>
  <c r="E275" i="7"/>
  <c r="D275" i="7"/>
  <c r="C275" i="7"/>
  <c r="G274" i="7"/>
  <c r="F274" i="7"/>
  <c r="E274" i="7"/>
  <c r="D274" i="7"/>
  <c r="C274" i="7"/>
  <c r="G273" i="7"/>
  <c r="F273" i="7"/>
  <c r="E273" i="7"/>
  <c r="D273" i="7"/>
  <c r="C273" i="7"/>
  <c r="G272" i="7"/>
  <c r="F272" i="7"/>
  <c r="E272" i="7"/>
  <c r="D272" i="7"/>
  <c r="C272" i="7"/>
  <c r="G271" i="7"/>
  <c r="F271" i="7"/>
  <c r="E271" i="7"/>
  <c r="D271" i="7"/>
  <c r="C271" i="7"/>
  <c r="G270" i="7"/>
  <c r="F270" i="7"/>
  <c r="E270" i="7"/>
  <c r="D270" i="7"/>
  <c r="C270" i="7"/>
  <c r="G269" i="7"/>
  <c r="F269" i="7"/>
  <c r="E269" i="7"/>
  <c r="D269" i="7"/>
  <c r="C269" i="7"/>
  <c r="G268" i="7"/>
  <c r="F268" i="7"/>
  <c r="E268" i="7"/>
  <c r="D268" i="7"/>
  <c r="C268" i="7"/>
  <c r="G267" i="7"/>
  <c r="F267" i="7"/>
  <c r="E267" i="7"/>
  <c r="D267" i="7"/>
  <c r="C267" i="7"/>
  <c r="G266" i="7"/>
  <c r="F266" i="7"/>
  <c r="E266" i="7"/>
  <c r="D266" i="7"/>
  <c r="C266" i="7"/>
  <c r="G265" i="7"/>
  <c r="F265" i="7"/>
  <c r="E265" i="7"/>
  <c r="D265" i="7"/>
  <c r="C265" i="7"/>
  <c r="G264" i="7"/>
  <c r="F264" i="7"/>
  <c r="E264" i="7"/>
  <c r="D264" i="7"/>
  <c r="C264" i="7"/>
  <c r="G263" i="7"/>
  <c r="F263" i="7"/>
  <c r="E263" i="7"/>
  <c r="D263" i="7"/>
  <c r="C263" i="7"/>
  <c r="G262" i="7"/>
  <c r="F262" i="7"/>
  <c r="E262" i="7"/>
  <c r="D262" i="7"/>
  <c r="C262" i="7"/>
  <c r="G261" i="7"/>
  <c r="F261" i="7"/>
  <c r="E261" i="7"/>
  <c r="D261" i="7"/>
  <c r="C261" i="7"/>
  <c r="G260" i="7"/>
  <c r="F260" i="7"/>
  <c r="E260" i="7"/>
  <c r="D260" i="7"/>
  <c r="C260" i="7"/>
  <c r="G259" i="7"/>
  <c r="F259" i="7"/>
  <c r="E259" i="7"/>
  <c r="D259" i="7"/>
  <c r="C259" i="7"/>
  <c r="G258" i="7"/>
  <c r="F258" i="7"/>
  <c r="E258" i="7"/>
  <c r="D258" i="7"/>
  <c r="C258" i="7"/>
  <c r="G257" i="7"/>
  <c r="F257" i="7"/>
  <c r="E257" i="7"/>
  <c r="D257" i="7"/>
  <c r="C257" i="7"/>
  <c r="G256" i="7"/>
  <c r="F256" i="7"/>
  <c r="E256" i="7"/>
  <c r="D256" i="7"/>
  <c r="C256" i="7"/>
  <c r="G255" i="7"/>
  <c r="F255" i="7"/>
  <c r="E255" i="7"/>
  <c r="D255" i="7"/>
  <c r="C255" i="7"/>
  <c r="G254" i="7"/>
  <c r="F254" i="7"/>
  <c r="E254" i="7"/>
  <c r="D254" i="7"/>
  <c r="C254" i="7"/>
  <c r="G253" i="7"/>
  <c r="F253" i="7"/>
  <c r="E253" i="7"/>
  <c r="D253" i="7"/>
  <c r="C253" i="7"/>
  <c r="G252" i="7"/>
  <c r="F252" i="7"/>
  <c r="E252" i="7"/>
  <c r="D252" i="7"/>
  <c r="C252" i="7"/>
  <c r="G251" i="7"/>
  <c r="F251" i="7"/>
  <c r="E251" i="7"/>
  <c r="D251" i="7"/>
  <c r="C251" i="7"/>
  <c r="G250" i="7"/>
  <c r="F250" i="7"/>
  <c r="E250" i="7"/>
  <c r="D250" i="7"/>
  <c r="C250" i="7"/>
  <c r="G249" i="7"/>
  <c r="F249" i="7"/>
  <c r="E249" i="7"/>
  <c r="D249" i="7"/>
  <c r="C249" i="7"/>
  <c r="G248" i="7"/>
  <c r="F248" i="7"/>
  <c r="E248" i="7"/>
  <c r="D248" i="7"/>
  <c r="C248" i="7"/>
  <c r="G247" i="7"/>
  <c r="F247" i="7"/>
  <c r="E247" i="7"/>
  <c r="D247" i="7"/>
  <c r="C247" i="7"/>
  <c r="G246" i="7"/>
  <c r="F246" i="7"/>
  <c r="E246" i="7"/>
  <c r="D246" i="7"/>
  <c r="C246" i="7"/>
  <c r="G245" i="7"/>
  <c r="F245" i="7"/>
  <c r="E245" i="7"/>
  <c r="D245" i="7"/>
  <c r="C245" i="7"/>
  <c r="G244" i="7"/>
  <c r="F244" i="7"/>
  <c r="E244" i="7"/>
  <c r="D244" i="7"/>
  <c r="C244" i="7"/>
  <c r="G243" i="7"/>
  <c r="F243" i="7"/>
  <c r="E243" i="7"/>
  <c r="D243" i="7"/>
  <c r="C243" i="7"/>
  <c r="G242" i="7"/>
  <c r="F242" i="7"/>
  <c r="E242" i="7"/>
  <c r="D242" i="7"/>
  <c r="C242" i="7"/>
  <c r="G241" i="7"/>
  <c r="F241" i="7"/>
  <c r="E241" i="7"/>
  <c r="D241" i="7"/>
  <c r="C241" i="7"/>
  <c r="G240" i="7"/>
  <c r="F240" i="7"/>
  <c r="E240" i="7"/>
  <c r="D240" i="7"/>
  <c r="C240" i="7"/>
  <c r="G239" i="7"/>
  <c r="F239" i="7"/>
  <c r="E239" i="7"/>
  <c r="D239" i="7"/>
  <c r="C239" i="7"/>
  <c r="G238" i="7"/>
  <c r="F238" i="7"/>
  <c r="E238" i="7"/>
  <c r="D238" i="7"/>
  <c r="C238" i="7"/>
  <c r="G237" i="7"/>
  <c r="F237" i="7"/>
  <c r="E237" i="7"/>
  <c r="D237" i="7"/>
  <c r="C237" i="7"/>
  <c r="G236" i="7"/>
  <c r="F236" i="7"/>
  <c r="E236" i="7"/>
  <c r="D236" i="7"/>
  <c r="C236" i="7"/>
  <c r="G235" i="7"/>
  <c r="F235" i="7"/>
  <c r="E235" i="7"/>
  <c r="D235" i="7"/>
  <c r="C235" i="7"/>
  <c r="G234" i="7"/>
  <c r="F234" i="7"/>
  <c r="E234" i="7"/>
  <c r="D234" i="7"/>
  <c r="C234" i="7"/>
  <c r="G233" i="7"/>
  <c r="F233" i="7"/>
  <c r="E233" i="7"/>
  <c r="D233" i="7"/>
  <c r="C233" i="7"/>
  <c r="G232" i="7"/>
  <c r="F232" i="7"/>
  <c r="E232" i="7"/>
  <c r="D232" i="7"/>
  <c r="C232" i="7"/>
  <c r="G231" i="7"/>
  <c r="F231" i="7"/>
  <c r="E231" i="7"/>
  <c r="D231" i="7"/>
  <c r="C231" i="7"/>
  <c r="G230" i="7"/>
  <c r="F230" i="7"/>
  <c r="E230" i="7"/>
  <c r="D230" i="7"/>
  <c r="C230" i="7"/>
  <c r="G229" i="7"/>
  <c r="F229" i="7"/>
  <c r="E229" i="7"/>
  <c r="D229" i="7"/>
  <c r="C229" i="7"/>
  <c r="G228" i="7"/>
  <c r="F228" i="7"/>
  <c r="E228" i="7"/>
  <c r="D228" i="7"/>
  <c r="C228" i="7"/>
  <c r="G227" i="7"/>
  <c r="F227" i="7"/>
  <c r="E227" i="7"/>
  <c r="D227" i="7"/>
  <c r="C227" i="7"/>
  <c r="G226" i="7"/>
  <c r="F226" i="7"/>
  <c r="E226" i="7"/>
  <c r="D226" i="7"/>
  <c r="C226" i="7"/>
  <c r="G225" i="7"/>
  <c r="F225" i="7"/>
  <c r="E225" i="7"/>
  <c r="D225" i="7"/>
  <c r="C225" i="7"/>
  <c r="G224" i="7"/>
  <c r="F224" i="7"/>
  <c r="E224" i="7"/>
  <c r="D224" i="7"/>
  <c r="C224" i="7"/>
  <c r="G223" i="7"/>
  <c r="F223" i="7"/>
  <c r="E223" i="7"/>
  <c r="D223" i="7"/>
  <c r="C223" i="7"/>
  <c r="G222" i="7"/>
  <c r="F222" i="7"/>
  <c r="E222" i="7"/>
  <c r="D222" i="7"/>
  <c r="C222" i="7"/>
  <c r="G221" i="7"/>
  <c r="F221" i="7"/>
  <c r="E221" i="7"/>
  <c r="D221" i="7"/>
  <c r="C221" i="7"/>
  <c r="G220" i="7"/>
  <c r="F220" i="7"/>
  <c r="E220" i="7"/>
  <c r="D220" i="7"/>
  <c r="C220" i="7"/>
  <c r="G219" i="7"/>
  <c r="F219" i="7"/>
  <c r="E219" i="7"/>
  <c r="D219" i="7"/>
  <c r="C219" i="7"/>
  <c r="G218" i="7"/>
  <c r="F218" i="7"/>
  <c r="E218" i="7"/>
  <c r="D218" i="7"/>
  <c r="C218" i="7"/>
  <c r="G217" i="7"/>
  <c r="F217" i="7"/>
  <c r="E217" i="7"/>
  <c r="D217" i="7"/>
  <c r="C217" i="7"/>
  <c r="G216" i="7"/>
  <c r="F216" i="7"/>
  <c r="E216" i="7"/>
  <c r="D216" i="7"/>
  <c r="C216" i="7"/>
  <c r="G215" i="7"/>
  <c r="F215" i="7"/>
  <c r="E215" i="7"/>
  <c r="D215" i="7"/>
  <c r="C215" i="7"/>
  <c r="G214" i="7"/>
  <c r="F214" i="7"/>
  <c r="E214" i="7"/>
  <c r="D214" i="7"/>
  <c r="C214" i="7"/>
  <c r="G213" i="7"/>
  <c r="F213" i="7"/>
  <c r="E213" i="7"/>
  <c r="D213" i="7"/>
  <c r="C213" i="7"/>
  <c r="G212" i="7"/>
  <c r="F212" i="7"/>
  <c r="E212" i="7"/>
  <c r="D212" i="7"/>
  <c r="C212" i="7"/>
  <c r="G211" i="7"/>
  <c r="F211" i="7"/>
  <c r="E211" i="7"/>
  <c r="D211" i="7"/>
  <c r="C211" i="7"/>
  <c r="G210" i="7"/>
  <c r="F210" i="7"/>
  <c r="E210" i="7"/>
  <c r="D210" i="7"/>
  <c r="C210" i="7"/>
  <c r="G209" i="7"/>
  <c r="G208" i="7"/>
  <c r="F208" i="7"/>
  <c r="E208" i="7"/>
  <c r="D208" i="7"/>
  <c r="C208" i="7"/>
  <c r="G207" i="7"/>
  <c r="F207" i="7"/>
  <c r="E207" i="7"/>
  <c r="D207" i="7"/>
  <c r="C207" i="7"/>
  <c r="G206" i="7"/>
  <c r="F206" i="7"/>
  <c r="E206" i="7"/>
  <c r="D206" i="7"/>
  <c r="C206" i="7"/>
  <c r="G205" i="7"/>
  <c r="F205" i="7"/>
  <c r="E205" i="7"/>
  <c r="D205" i="7"/>
  <c r="C205" i="7"/>
  <c r="G204" i="7"/>
  <c r="F204" i="7"/>
  <c r="E204" i="7"/>
  <c r="D204" i="7"/>
  <c r="C204" i="7"/>
  <c r="G203" i="7"/>
  <c r="F203" i="7"/>
  <c r="E203" i="7"/>
  <c r="D203" i="7"/>
  <c r="C203" i="7"/>
  <c r="G202" i="7"/>
  <c r="F202" i="7"/>
  <c r="E202" i="7"/>
  <c r="D202" i="7"/>
  <c r="C202" i="7"/>
  <c r="G201" i="7"/>
  <c r="F201" i="7"/>
  <c r="E201" i="7"/>
  <c r="D201" i="7"/>
  <c r="C201" i="7"/>
  <c r="G200" i="7"/>
  <c r="F200" i="7"/>
  <c r="E200" i="7"/>
  <c r="D200" i="7"/>
  <c r="C200" i="7"/>
  <c r="G199" i="7"/>
  <c r="F199" i="7"/>
  <c r="E199" i="7"/>
  <c r="D199" i="7"/>
  <c r="C199" i="7"/>
  <c r="G198" i="7"/>
  <c r="F198" i="7"/>
  <c r="E198" i="7"/>
  <c r="D198" i="7"/>
  <c r="C198" i="7"/>
  <c r="G197" i="7"/>
  <c r="F197" i="7"/>
  <c r="E197" i="7"/>
  <c r="D197" i="7"/>
  <c r="C197" i="7"/>
  <c r="G196" i="7"/>
  <c r="F196" i="7"/>
  <c r="E196" i="7"/>
  <c r="D196" i="7"/>
  <c r="C196" i="7"/>
  <c r="G195" i="7"/>
  <c r="F195" i="7"/>
  <c r="E195" i="7"/>
  <c r="D195" i="7"/>
  <c r="C195" i="7"/>
  <c r="G194" i="7"/>
  <c r="F194" i="7"/>
  <c r="E194" i="7"/>
  <c r="D194" i="7"/>
  <c r="C194" i="7"/>
  <c r="G193" i="7"/>
  <c r="F193" i="7"/>
  <c r="E193" i="7"/>
  <c r="D193" i="7"/>
  <c r="C193" i="7"/>
  <c r="G192" i="7"/>
  <c r="F192" i="7"/>
  <c r="E192" i="7"/>
  <c r="D192" i="7"/>
  <c r="C192" i="7"/>
  <c r="G191" i="7"/>
  <c r="F191" i="7"/>
  <c r="E191" i="7"/>
  <c r="D191" i="7"/>
  <c r="C191" i="7"/>
  <c r="G190" i="7"/>
  <c r="F190" i="7"/>
  <c r="E190" i="7"/>
  <c r="D190" i="7"/>
  <c r="C190" i="7"/>
  <c r="G189" i="7"/>
  <c r="F189" i="7"/>
  <c r="E189" i="7"/>
  <c r="D189" i="7"/>
  <c r="C189" i="7"/>
  <c r="G188" i="7"/>
  <c r="F188" i="7"/>
  <c r="E188" i="7"/>
  <c r="D188" i="7"/>
  <c r="C188" i="7"/>
  <c r="G187" i="7"/>
  <c r="F187" i="7"/>
  <c r="E187" i="7"/>
  <c r="D187" i="7"/>
  <c r="C187" i="7"/>
  <c r="G186" i="7"/>
  <c r="F186" i="7"/>
  <c r="E186" i="7"/>
  <c r="D186" i="7"/>
  <c r="C186" i="7"/>
  <c r="G185" i="7"/>
  <c r="F185" i="7"/>
  <c r="E185" i="7"/>
  <c r="D185" i="7"/>
  <c r="C185" i="7"/>
  <c r="G184" i="7"/>
  <c r="F184" i="7"/>
  <c r="E184" i="7"/>
  <c r="D184" i="7"/>
  <c r="C184" i="7"/>
  <c r="G183" i="7"/>
  <c r="F183" i="7"/>
  <c r="E183" i="7"/>
  <c r="D183" i="7"/>
  <c r="C183" i="7"/>
  <c r="G182" i="7"/>
  <c r="G181" i="7"/>
  <c r="F181" i="7"/>
  <c r="E181" i="7"/>
  <c r="D181" i="7"/>
  <c r="C181" i="7"/>
  <c r="G180" i="7"/>
  <c r="F180" i="7"/>
  <c r="E180" i="7"/>
  <c r="D180" i="7"/>
  <c r="C180" i="7"/>
  <c r="G179" i="7"/>
  <c r="F179" i="7"/>
  <c r="E179" i="7"/>
  <c r="D179" i="7"/>
  <c r="C179" i="7"/>
  <c r="G178" i="7"/>
  <c r="F178" i="7"/>
  <c r="E178" i="7"/>
  <c r="D178" i="7"/>
  <c r="C178" i="7"/>
  <c r="G177" i="7"/>
  <c r="F177" i="7"/>
  <c r="E177" i="7"/>
  <c r="D177" i="7"/>
  <c r="C177" i="7"/>
  <c r="G176" i="7"/>
  <c r="F176" i="7"/>
  <c r="E176" i="7"/>
  <c r="D176" i="7"/>
  <c r="C176" i="7"/>
  <c r="G175" i="7"/>
  <c r="F175" i="7"/>
  <c r="E175" i="7"/>
  <c r="D175" i="7"/>
  <c r="C175" i="7"/>
  <c r="G174" i="7"/>
  <c r="F174" i="7"/>
  <c r="E174" i="7"/>
  <c r="D174" i="7"/>
  <c r="C174" i="7"/>
  <c r="G173" i="7"/>
  <c r="F173" i="7"/>
  <c r="E173" i="7"/>
  <c r="D173" i="7"/>
  <c r="C173" i="7"/>
  <c r="G172" i="7"/>
  <c r="F172" i="7"/>
  <c r="E172" i="7"/>
  <c r="D172" i="7"/>
  <c r="C172" i="7"/>
  <c r="G171" i="7"/>
  <c r="F171" i="7"/>
  <c r="E171" i="7"/>
  <c r="D171" i="7"/>
  <c r="C171" i="7"/>
  <c r="G170" i="7"/>
  <c r="F170" i="7"/>
  <c r="E170" i="7"/>
  <c r="D170" i="7"/>
  <c r="C170" i="7"/>
  <c r="G169" i="7"/>
  <c r="F169" i="7"/>
  <c r="E169" i="7"/>
  <c r="D169" i="7"/>
  <c r="C169" i="7"/>
  <c r="G168" i="7"/>
  <c r="F168" i="7"/>
  <c r="E168" i="7"/>
  <c r="D168" i="7"/>
  <c r="C168" i="7"/>
  <c r="G167" i="7"/>
  <c r="F167" i="7"/>
  <c r="E167" i="7"/>
  <c r="D167" i="7"/>
  <c r="C167" i="7"/>
  <c r="G166" i="7"/>
  <c r="F166" i="7"/>
  <c r="E166" i="7"/>
  <c r="D166" i="7"/>
  <c r="C166" i="7"/>
  <c r="G165" i="7"/>
  <c r="F165" i="7"/>
  <c r="E165" i="7"/>
  <c r="D165" i="7"/>
  <c r="C165" i="7"/>
  <c r="G164" i="7"/>
  <c r="F164" i="7"/>
  <c r="E164" i="7"/>
  <c r="D164" i="7"/>
  <c r="C164" i="7"/>
  <c r="G163" i="7"/>
  <c r="F163" i="7"/>
  <c r="E163" i="7"/>
  <c r="D163" i="7"/>
  <c r="C163" i="7"/>
  <c r="G162" i="7"/>
  <c r="F162" i="7"/>
  <c r="E162" i="7"/>
  <c r="D162" i="7"/>
  <c r="C162" i="7"/>
  <c r="G161" i="7"/>
  <c r="F161" i="7"/>
  <c r="E161" i="7"/>
  <c r="D161" i="7"/>
  <c r="C161" i="7"/>
  <c r="G160" i="7"/>
  <c r="F160" i="7"/>
  <c r="E160" i="7"/>
  <c r="D160" i="7"/>
  <c r="C160" i="7"/>
  <c r="G159" i="7"/>
  <c r="F159" i="7"/>
  <c r="E159" i="7"/>
  <c r="D159" i="7"/>
  <c r="C159" i="7"/>
  <c r="G158" i="7"/>
  <c r="F158" i="7"/>
  <c r="E158" i="7"/>
  <c r="D158" i="7"/>
  <c r="C158" i="7"/>
  <c r="G157" i="7"/>
  <c r="F157" i="7"/>
  <c r="E157" i="7"/>
  <c r="D157" i="7"/>
  <c r="C157" i="7"/>
  <c r="G156" i="7"/>
  <c r="F156" i="7"/>
  <c r="E156" i="7"/>
  <c r="D156" i="7"/>
  <c r="C156" i="7"/>
  <c r="G155" i="7"/>
  <c r="F155" i="7"/>
  <c r="E155" i="7"/>
  <c r="D155" i="7"/>
  <c r="C155" i="7"/>
  <c r="G154" i="7"/>
  <c r="F154" i="7"/>
  <c r="E154" i="7"/>
  <c r="D154" i="7"/>
  <c r="C154" i="7"/>
  <c r="G153" i="7"/>
  <c r="F153" i="7"/>
  <c r="E153" i="7"/>
  <c r="D153" i="7"/>
  <c r="C153" i="7"/>
  <c r="G152" i="7"/>
  <c r="F152" i="7"/>
  <c r="E152" i="7"/>
  <c r="D152" i="7"/>
  <c r="C152" i="7"/>
  <c r="G151" i="7"/>
  <c r="F151" i="7"/>
  <c r="E151" i="7"/>
  <c r="D151" i="7"/>
  <c r="C151" i="7"/>
  <c r="G150" i="7"/>
  <c r="F150" i="7"/>
  <c r="E150" i="7"/>
  <c r="D150" i="7"/>
  <c r="C150" i="7"/>
  <c r="G149" i="7"/>
  <c r="F149" i="7"/>
  <c r="E149" i="7"/>
  <c r="D149" i="7"/>
  <c r="C149" i="7"/>
  <c r="G148" i="7"/>
  <c r="F148" i="7"/>
  <c r="E148" i="7"/>
  <c r="D148" i="7"/>
  <c r="C148" i="7"/>
  <c r="G147" i="7"/>
  <c r="F147" i="7"/>
  <c r="E147" i="7"/>
  <c r="D147" i="7"/>
  <c r="C147" i="7"/>
  <c r="G146" i="7"/>
  <c r="F146" i="7"/>
  <c r="E146" i="7"/>
  <c r="D146" i="7"/>
  <c r="C146" i="7"/>
  <c r="G145" i="7"/>
  <c r="F145" i="7"/>
  <c r="E145" i="7"/>
  <c r="D145" i="7"/>
  <c r="C145" i="7"/>
  <c r="G144" i="7"/>
  <c r="F144" i="7"/>
  <c r="E144" i="7"/>
  <c r="D144" i="7"/>
  <c r="C144" i="7"/>
  <c r="G143" i="7"/>
  <c r="F143" i="7"/>
  <c r="E143" i="7"/>
  <c r="D143" i="7"/>
  <c r="C143" i="7"/>
  <c r="G142" i="7"/>
  <c r="F142" i="7"/>
  <c r="E142" i="7"/>
  <c r="D142" i="7"/>
  <c r="C142" i="7"/>
  <c r="G141" i="7"/>
  <c r="F141" i="7"/>
  <c r="E141" i="7"/>
  <c r="D141" i="7"/>
  <c r="C141" i="7"/>
  <c r="G140" i="7"/>
  <c r="F140" i="7"/>
  <c r="E140" i="7"/>
  <c r="D140" i="7"/>
  <c r="C140" i="7"/>
  <c r="G139" i="7"/>
  <c r="F139" i="7"/>
  <c r="E139" i="7"/>
  <c r="D139" i="7"/>
  <c r="C139" i="7"/>
  <c r="G138" i="7"/>
  <c r="F138" i="7"/>
  <c r="E138" i="7"/>
  <c r="D138" i="7"/>
  <c r="C138" i="7"/>
  <c r="G137" i="7"/>
  <c r="F137" i="7"/>
  <c r="E137" i="7"/>
  <c r="D137" i="7"/>
  <c r="C137" i="7"/>
  <c r="G136" i="7"/>
  <c r="F136" i="7"/>
  <c r="E136" i="7"/>
  <c r="D136" i="7"/>
  <c r="C136" i="7"/>
  <c r="G135" i="7"/>
  <c r="F135" i="7"/>
  <c r="E135" i="7"/>
  <c r="D135" i="7"/>
  <c r="C135" i="7"/>
  <c r="G134" i="7"/>
  <c r="F134" i="7"/>
  <c r="E134" i="7"/>
  <c r="D134" i="7"/>
  <c r="C134" i="7"/>
  <c r="G133" i="7"/>
  <c r="F133" i="7"/>
  <c r="E133" i="7"/>
  <c r="D133" i="7"/>
  <c r="C133" i="7"/>
  <c r="G132" i="7"/>
  <c r="F132" i="7"/>
  <c r="E132" i="7"/>
  <c r="D132" i="7"/>
  <c r="C132" i="7"/>
  <c r="G131" i="7"/>
  <c r="F131" i="7"/>
  <c r="E131" i="7"/>
  <c r="D131" i="7"/>
  <c r="C131" i="7"/>
  <c r="G130" i="7"/>
  <c r="F130" i="7"/>
  <c r="E130" i="7"/>
  <c r="D130" i="7"/>
  <c r="C130" i="7"/>
  <c r="G129" i="7"/>
  <c r="F129" i="7"/>
  <c r="E129" i="7"/>
  <c r="D129" i="7"/>
  <c r="C129" i="7"/>
  <c r="G128" i="7"/>
  <c r="F128" i="7"/>
  <c r="E128" i="7"/>
  <c r="D128" i="7"/>
  <c r="C128" i="7"/>
  <c r="G127" i="7"/>
  <c r="F127" i="7"/>
  <c r="E127" i="7"/>
  <c r="D127" i="7"/>
  <c r="C127" i="7"/>
  <c r="G126" i="7"/>
  <c r="F126" i="7"/>
  <c r="E126" i="7"/>
  <c r="D126" i="7"/>
  <c r="C126" i="7"/>
  <c r="G125" i="7"/>
  <c r="F125" i="7"/>
  <c r="E125" i="7"/>
  <c r="D125" i="7"/>
  <c r="C125" i="7"/>
  <c r="G124" i="7"/>
  <c r="F124" i="7"/>
  <c r="E124" i="7"/>
  <c r="D124" i="7"/>
  <c r="C124" i="7"/>
  <c r="G123" i="7"/>
  <c r="F123" i="7"/>
  <c r="E123" i="7"/>
  <c r="D123" i="7"/>
  <c r="C123" i="7"/>
  <c r="G122" i="7"/>
  <c r="F122" i="7"/>
  <c r="E122" i="7"/>
  <c r="D122" i="7"/>
  <c r="C122" i="7"/>
  <c r="G121" i="7"/>
  <c r="F121" i="7"/>
  <c r="E121" i="7"/>
  <c r="D121" i="7"/>
  <c r="C121" i="7"/>
  <c r="G120" i="7"/>
  <c r="F120" i="7"/>
  <c r="E120" i="7"/>
  <c r="D120" i="7"/>
  <c r="C120" i="7"/>
  <c r="G119" i="7"/>
  <c r="F119" i="7"/>
  <c r="E119" i="7"/>
  <c r="D119" i="7"/>
  <c r="C119" i="7"/>
  <c r="G118" i="7"/>
  <c r="F118" i="7"/>
  <c r="E118" i="7"/>
  <c r="D118" i="7"/>
  <c r="C118" i="7"/>
  <c r="G117" i="7"/>
  <c r="F117" i="7"/>
  <c r="E117" i="7"/>
  <c r="D117" i="7"/>
  <c r="C117" i="7"/>
  <c r="G116" i="7"/>
  <c r="F116" i="7"/>
  <c r="E116" i="7"/>
  <c r="D116" i="7"/>
  <c r="C116" i="7"/>
  <c r="G115" i="7"/>
  <c r="F115" i="7"/>
  <c r="E115" i="7"/>
  <c r="D115" i="7"/>
  <c r="C115" i="7"/>
  <c r="G114" i="7"/>
  <c r="F114" i="7"/>
  <c r="E114" i="7"/>
  <c r="D114" i="7"/>
  <c r="C114" i="7"/>
  <c r="G113" i="7"/>
  <c r="F113" i="7"/>
  <c r="E113" i="7"/>
  <c r="D113" i="7"/>
  <c r="C113" i="7"/>
  <c r="G112" i="7"/>
  <c r="F112" i="7"/>
  <c r="E112" i="7"/>
  <c r="D112" i="7"/>
  <c r="C112" i="7"/>
  <c r="G111" i="7"/>
  <c r="F111" i="7"/>
  <c r="E111" i="7"/>
  <c r="D111" i="7"/>
  <c r="C111" i="7"/>
  <c r="G110" i="7"/>
  <c r="F110" i="7"/>
  <c r="E110" i="7"/>
  <c r="D110" i="7"/>
  <c r="C110" i="7"/>
  <c r="G109" i="7"/>
  <c r="F109" i="7"/>
  <c r="E109" i="7"/>
  <c r="D109" i="7"/>
  <c r="C109" i="7"/>
  <c r="G108" i="7"/>
  <c r="F108" i="7"/>
  <c r="E108" i="7"/>
  <c r="D108" i="7"/>
  <c r="C108" i="7"/>
  <c r="G107" i="7"/>
  <c r="F107" i="7"/>
  <c r="E107" i="7"/>
  <c r="D107" i="7"/>
  <c r="C107" i="7"/>
  <c r="G106" i="7"/>
  <c r="F106" i="7"/>
  <c r="E106" i="7"/>
  <c r="D106" i="7"/>
  <c r="C106" i="7"/>
  <c r="G105" i="7"/>
  <c r="F105" i="7"/>
  <c r="E105" i="7"/>
  <c r="D105" i="7"/>
  <c r="C105" i="7"/>
  <c r="G104" i="7"/>
  <c r="F104" i="7"/>
  <c r="E104" i="7"/>
  <c r="D104" i="7"/>
  <c r="C104" i="7"/>
  <c r="G103" i="7"/>
  <c r="F103" i="7"/>
  <c r="E103" i="7"/>
  <c r="D103" i="7"/>
  <c r="C103" i="7"/>
  <c r="G102" i="7"/>
  <c r="F102" i="7"/>
  <c r="E102" i="7"/>
  <c r="D102" i="7"/>
  <c r="C102" i="7"/>
  <c r="G101" i="7"/>
  <c r="F101" i="7"/>
  <c r="E101" i="7"/>
  <c r="D101" i="7"/>
  <c r="C101" i="7"/>
  <c r="G100" i="7"/>
  <c r="F100" i="7"/>
  <c r="E100" i="7"/>
  <c r="D100" i="7"/>
  <c r="C100" i="7"/>
  <c r="G99" i="7"/>
  <c r="F99" i="7"/>
  <c r="E99" i="7"/>
  <c r="D99" i="7"/>
  <c r="C99" i="7"/>
  <c r="G98" i="7"/>
  <c r="F98" i="7"/>
  <c r="E98" i="7"/>
  <c r="D98" i="7"/>
  <c r="C98" i="7"/>
  <c r="G97" i="7"/>
  <c r="F97" i="7"/>
  <c r="E97" i="7"/>
  <c r="D97" i="7"/>
  <c r="C97" i="7"/>
  <c r="G96" i="7"/>
  <c r="F96" i="7"/>
  <c r="E96" i="7"/>
  <c r="D96" i="7"/>
  <c r="C96" i="7"/>
  <c r="G95" i="7"/>
  <c r="F95" i="7"/>
  <c r="E95" i="7"/>
  <c r="D95" i="7"/>
  <c r="C95" i="7"/>
  <c r="G94" i="7"/>
  <c r="F94" i="7"/>
  <c r="E94" i="7"/>
  <c r="D94" i="7"/>
  <c r="C94" i="7"/>
  <c r="G93" i="7"/>
  <c r="F93" i="7"/>
  <c r="E93" i="7"/>
  <c r="D93" i="7"/>
  <c r="C93" i="7"/>
  <c r="G92" i="7"/>
  <c r="F92" i="7"/>
  <c r="E92" i="7"/>
  <c r="D92" i="7"/>
  <c r="C92" i="7"/>
  <c r="G91" i="7"/>
  <c r="F91" i="7"/>
  <c r="E91" i="7"/>
  <c r="D91" i="7"/>
  <c r="C91" i="7"/>
  <c r="G90" i="7"/>
  <c r="F90" i="7"/>
  <c r="E90" i="7"/>
  <c r="D90" i="7"/>
  <c r="C90" i="7"/>
  <c r="G89" i="7"/>
  <c r="F89" i="7"/>
  <c r="E89" i="7"/>
  <c r="D89" i="7"/>
  <c r="C89" i="7"/>
  <c r="G88" i="7"/>
  <c r="F88" i="7"/>
  <c r="E88" i="7"/>
  <c r="D88" i="7"/>
  <c r="C88" i="7"/>
  <c r="G87" i="7"/>
  <c r="F87" i="7"/>
  <c r="E87" i="7"/>
  <c r="D87" i="7"/>
  <c r="C87" i="7"/>
  <c r="G86" i="7"/>
  <c r="F86" i="7"/>
  <c r="E86" i="7"/>
  <c r="D86" i="7"/>
  <c r="C86" i="7"/>
  <c r="G85" i="7"/>
  <c r="F85" i="7"/>
  <c r="E85" i="7"/>
  <c r="D85" i="7"/>
  <c r="C85" i="7"/>
  <c r="G84" i="7"/>
  <c r="F84" i="7"/>
  <c r="E84" i="7"/>
  <c r="D84" i="7"/>
  <c r="C84" i="7"/>
  <c r="G83" i="7"/>
  <c r="F83" i="7"/>
  <c r="E83" i="7"/>
  <c r="D83" i="7"/>
  <c r="C83" i="7"/>
  <c r="G82" i="7"/>
  <c r="F82" i="7"/>
  <c r="E82" i="7"/>
  <c r="D82" i="7"/>
  <c r="C82" i="7"/>
  <c r="G81" i="7"/>
  <c r="F81" i="7"/>
  <c r="E81" i="7"/>
  <c r="D81" i="7"/>
  <c r="C81" i="7"/>
  <c r="G80" i="7"/>
  <c r="F80" i="7"/>
  <c r="E80" i="7"/>
  <c r="D80" i="7"/>
  <c r="C80" i="7"/>
  <c r="G79" i="7"/>
  <c r="F79" i="7"/>
  <c r="E79" i="7"/>
  <c r="D79" i="7"/>
  <c r="C79" i="7"/>
  <c r="G78" i="7"/>
  <c r="F78" i="7"/>
  <c r="E78" i="7"/>
  <c r="D78" i="7"/>
  <c r="C78" i="7"/>
  <c r="G77" i="7"/>
  <c r="F77" i="7"/>
  <c r="E77" i="7"/>
  <c r="D77" i="7"/>
  <c r="C77" i="7"/>
  <c r="G76" i="7"/>
  <c r="F76" i="7"/>
  <c r="E76" i="7"/>
  <c r="D76" i="7"/>
  <c r="C76" i="7"/>
  <c r="G75" i="7"/>
  <c r="F75" i="7"/>
  <c r="E75" i="7"/>
  <c r="D75" i="7"/>
  <c r="C75" i="7"/>
  <c r="G74" i="7"/>
  <c r="F74" i="7"/>
  <c r="E74" i="7"/>
  <c r="D74" i="7"/>
  <c r="C74" i="7"/>
  <c r="G73" i="7"/>
  <c r="F73" i="7"/>
  <c r="E73" i="7"/>
  <c r="D73" i="7"/>
  <c r="C73" i="7"/>
  <c r="G72" i="7"/>
  <c r="F72" i="7"/>
  <c r="E72" i="7"/>
  <c r="D72" i="7"/>
  <c r="C72" i="7"/>
  <c r="G71" i="7"/>
  <c r="F71" i="7"/>
  <c r="E71" i="7"/>
  <c r="D71" i="7"/>
  <c r="C71" i="7"/>
  <c r="G70" i="7"/>
  <c r="F70" i="7"/>
  <c r="E70" i="7"/>
  <c r="D70" i="7"/>
  <c r="C70" i="7"/>
  <c r="G69" i="7"/>
  <c r="F69" i="7"/>
  <c r="E69" i="7"/>
  <c r="D69" i="7"/>
  <c r="C69" i="7"/>
  <c r="G68" i="7"/>
  <c r="F68" i="7"/>
  <c r="E68" i="7"/>
  <c r="D68" i="7"/>
  <c r="C68" i="7"/>
  <c r="G67" i="7"/>
  <c r="F67" i="7"/>
  <c r="E67" i="7"/>
  <c r="D67" i="7"/>
  <c r="C67" i="7"/>
  <c r="G66" i="7"/>
  <c r="F66" i="7"/>
  <c r="E66" i="7"/>
  <c r="D66" i="7"/>
  <c r="C66" i="7"/>
  <c r="G65" i="7"/>
  <c r="F65" i="7"/>
  <c r="E65" i="7"/>
  <c r="D65" i="7"/>
  <c r="C65" i="7"/>
  <c r="G64" i="7"/>
  <c r="F64" i="7"/>
  <c r="E64" i="7"/>
  <c r="D64" i="7"/>
  <c r="C64" i="7"/>
  <c r="G63" i="7"/>
  <c r="F63" i="7"/>
  <c r="E63" i="7"/>
  <c r="D63" i="7"/>
  <c r="C63" i="7"/>
  <c r="G62" i="7"/>
  <c r="F62" i="7"/>
  <c r="E62" i="7"/>
  <c r="D62" i="7"/>
  <c r="C62" i="7"/>
  <c r="G61" i="7"/>
  <c r="F61" i="7"/>
  <c r="E61" i="7"/>
  <c r="D61" i="7"/>
  <c r="C61" i="7"/>
  <c r="G60" i="7"/>
  <c r="F60" i="7"/>
  <c r="E60" i="7"/>
  <c r="D60" i="7"/>
  <c r="C60" i="7"/>
  <c r="G59" i="7"/>
  <c r="F59" i="7"/>
  <c r="E59" i="7"/>
  <c r="D59" i="7"/>
  <c r="C59" i="7"/>
  <c r="G58" i="7"/>
  <c r="F58" i="7"/>
  <c r="E58" i="7"/>
  <c r="D58" i="7"/>
  <c r="C58" i="7"/>
  <c r="G57" i="7"/>
  <c r="F57" i="7"/>
  <c r="E57" i="7"/>
  <c r="D57" i="7"/>
  <c r="C57" i="7"/>
  <c r="G56" i="7"/>
  <c r="F56" i="7"/>
  <c r="E56" i="7"/>
  <c r="D56" i="7"/>
  <c r="C56" i="7"/>
  <c r="G55" i="7"/>
  <c r="F55" i="7"/>
  <c r="E55" i="7"/>
  <c r="D55" i="7"/>
  <c r="C55" i="7"/>
  <c r="G54" i="7"/>
  <c r="F54" i="7"/>
  <c r="E54" i="7"/>
  <c r="D54" i="7"/>
  <c r="C54" i="7"/>
  <c r="G53" i="7"/>
  <c r="F53" i="7"/>
  <c r="E53" i="7"/>
  <c r="D53" i="7"/>
  <c r="C53" i="7"/>
  <c r="G52" i="7"/>
  <c r="F52" i="7"/>
  <c r="E52" i="7"/>
  <c r="D52" i="7"/>
  <c r="C52" i="7"/>
  <c r="G51" i="7"/>
  <c r="F51" i="7"/>
  <c r="E51" i="7"/>
  <c r="D51" i="7"/>
  <c r="C51" i="7"/>
  <c r="G50" i="7"/>
  <c r="F50" i="7"/>
  <c r="E50" i="7"/>
  <c r="D50" i="7"/>
  <c r="C50" i="7"/>
  <c r="G49" i="7"/>
  <c r="F49" i="7"/>
  <c r="E49" i="7"/>
  <c r="D49" i="7"/>
  <c r="C49" i="7"/>
  <c r="G48" i="7"/>
  <c r="F48" i="7"/>
  <c r="E48" i="7"/>
  <c r="D48" i="7"/>
  <c r="C48" i="7"/>
  <c r="G47" i="7"/>
  <c r="F47" i="7"/>
  <c r="E47" i="7"/>
  <c r="D47" i="7"/>
  <c r="C47" i="7"/>
  <c r="G46" i="7"/>
  <c r="F46" i="7"/>
  <c r="E46" i="7"/>
  <c r="D46" i="7"/>
  <c r="C46" i="7"/>
  <c r="G45" i="7"/>
  <c r="F45" i="7"/>
  <c r="E45" i="7"/>
  <c r="D45" i="7"/>
  <c r="C45" i="7"/>
  <c r="G44" i="7"/>
  <c r="F44" i="7"/>
  <c r="E44" i="7"/>
  <c r="D44" i="7"/>
  <c r="C44" i="7"/>
  <c r="G43" i="7"/>
  <c r="F43" i="7"/>
  <c r="E43" i="7"/>
  <c r="D43" i="7"/>
  <c r="C43" i="7"/>
  <c r="G42" i="7"/>
  <c r="F42" i="7"/>
  <c r="E42" i="7"/>
  <c r="D42" i="7"/>
  <c r="C42" i="7"/>
  <c r="G41" i="7"/>
  <c r="F41" i="7"/>
  <c r="E41" i="7"/>
  <c r="D41" i="7"/>
  <c r="C41" i="7"/>
  <c r="G40" i="7"/>
  <c r="F40" i="7"/>
  <c r="E40" i="7"/>
  <c r="D40" i="7"/>
  <c r="C40" i="7"/>
  <c r="G39" i="7"/>
  <c r="F39" i="7"/>
  <c r="E39" i="7"/>
  <c r="D39" i="7"/>
  <c r="C39" i="7"/>
  <c r="G38" i="7"/>
  <c r="F38" i="7"/>
  <c r="E38" i="7"/>
  <c r="D38" i="7"/>
  <c r="C38" i="7"/>
  <c r="G37" i="7"/>
  <c r="F37" i="7"/>
  <c r="E37" i="7"/>
  <c r="D37" i="7"/>
  <c r="C37" i="7"/>
  <c r="G36" i="7"/>
  <c r="F36" i="7"/>
  <c r="E36" i="7"/>
  <c r="D36" i="7"/>
  <c r="C36" i="7"/>
  <c r="G35" i="7"/>
  <c r="F35" i="7"/>
  <c r="E35" i="7"/>
  <c r="D35" i="7"/>
  <c r="C35" i="7"/>
  <c r="G34" i="7"/>
  <c r="F34" i="7"/>
  <c r="E34" i="7"/>
  <c r="D34" i="7"/>
  <c r="C34" i="7"/>
  <c r="G33" i="7"/>
  <c r="F33" i="7"/>
  <c r="E33" i="7"/>
  <c r="D33" i="7"/>
  <c r="C33" i="7"/>
  <c r="G32" i="7"/>
  <c r="F32" i="7"/>
  <c r="E32" i="7"/>
  <c r="D32" i="7"/>
  <c r="C32" i="7"/>
  <c r="G31" i="7"/>
  <c r="F31" i="7"/>
  <c r="E31" i="7"/>
  <c r="D31" i="7"/>
  <c r="C31" i="7"/>
  <c r="G30" i="7"/>
  <c r="F30" i="7"/>
  <c r="E30" i="7"/>
  <c r="D30" i="7"/>
  <c r="C30" i="7"/>
  <c r="G29" i="7"/>
  <c r="F29" i="7"/>
  <c r="E29" i="7"/>
  <c r="D29" i="7"/>
  <c r="C29" i="7"/>
  <c r="G28" i="7"/>
  <c r="F28" i="7"/>
  <c r="E28" i="7"/>
  <c r="D28" i="7"/>
  <c r="C28" i="7"/>
  <c r="G27" i="7"/>
  <c r="F27" i="7"/>
  <c r="E27" i="7"/>
  <c r="D27" i="7"/>
  <c r="C27" i="7"/>
  <c r="G26" i="7"/>
  <c r="F26" i="7"/>
  <c r="E26" i="7"/>
  <c r="D26" i="7"/>
  <c r="C26" i="7"/>
  <c r="G25" i="7"/>
  <c r="F25" i="7"/>
  <c r="E25" i="7"/>
  <c r="D25" i="7"/>
  <c r="C25" i="7"/>
  <c r="G24" i="7"/>
  <c r="F24" i="7"/>
  <c r="E24" i="7"/>
  <c r="D24" i="7"/>
  <c r="C24" i="7"/>
  <c r="G23" i="7"/>
  <c r="F23" i="7"/>
  <c r="E23" i="7"/>
  <c r="D23" i="7"/>
  <c r="C23" i="7"/>
  <c r="G22" i="7"/>
  <c r="F22" i="7"/>
  <c r="E22" i="7"/>
  <c r="D22" i="7"/>
  <c r="C22" i="7"/>
  <c r="G21" i="7"/>
  <c r="F21" i="7"/>
  <c r="E21" i="7"/>
  <c r="D21" i="7"/>
  <c r="C21" i="7"/>
  <c r="G20" i="7"/>
  <c r="F20" i="7"/>
  <c r="E20" i="7"/>
  <c r="D20" i="7"/>
  <c r="C20" i="7"/>
  <c r="G19" i="7"/>
  <c r="F19" i="7"/>
  <c r="E19" i="7"/>
  <c r="D19" i="7"/>
  <c r="C19" i="7"/>
  <c r="G18" i="7"/>
  <c r="F18" i="7"/>
  <c r="E18" i="7"/>
  <c r="D18" i="7"/>
  <c r="C18" i="7"/>
  <c r="G17" i="7"/>
  <c r="F17" i="7"/>
  <c r="E17" i="7"/>
  <c r="D17" i="7"/>
  <c r="C17" i="7"/>
  <c r="G16" i="7"/>
  <c r="F16" i="7"/>
  <c r="E16" i="7"/>
  <c r="D16" i="7"/>
  <c r="C16" i="7"/>
  <c r="G15" i="7"/>
  <c r="F15" i="7"/>
  <c r="E15" i="7"/>
  <c r="D15" i="7"/>
  <c r="C15" i="7"/>
  <c r="G14" i="7"/>
  <c r="F14" i="7"/>
  <c r="E14" i="7"/>
  <c r="D14" i="7"/>
  <c r="C14" i="7"/>
  <c r="G13" i="7"/>
  <c r="F13" i="7"/>
  <c r="E13" i="7"/>
  <c r="D13" i="7"/>
  <c r="C13" i="7"/>
  <c r="G12" i="7"/>
  <c r="F12" i="7"/>
  <c r="E12" i="7"/>
  <c r="D12" i="7"/>
  <c r="C12" i="7"/>
  <c r="G11" i="7"/>
  <c r="F11" i="7"/>
  <c r="E11" i="7"/>
  <c r="D11" i="7"/>
  <c r="C11" i="7"/>
  <c r="G10" i="7"/>
  <c r="F10" i="7"/>
  <c r="E10" i="7"/>
  <c r="D10" i="7"/>
  <c r="C10" i="7"/>
  <c r="G9" i="7"/>
  <c r="F9" i="7"/>
  <c r="E9" i="7"/>
  <c r="D9" i="7"/>
  <c r="C9" i="7"/>
  <c r="G8" i="7"/>
  <c r="F8" i="7"/>
  <c r="E8" i="7"/>
  <c r="D8" i="7"/>
  <c r="C8" i="7"/>
  <c r="AA7" i="7"/>
  <c r="G7" i="7"/>
  <c r="F7" i="7"/>
  <c r="E7" i="7"/>
  <c r="D7" i="7"/>
  <c r="C7" i="7"/>
  <c r="AA6" i="7"/>
  <c r="G6" i="7"/>
  <c r="F6" i="7"/>
  <c r="E6" i="7"/>
  <c r="D6" i="7"/>
  <c r="C6" i="7"/>
  <c r="G5" i="7"/>
  <c r="F5" i="7"/>
  <c r="E5" i="7"/>
  <c r="D5" i="7"/>
  <c r="C5" i="7"/>
  <c r="G4" i="7"/>
  <c r="F4" i="7"/>
  <c r="E4" i="7"/>
  <c r="D4" i="7"/>
  <c r="C4" i="7"/>
  <c r="AA3" i="7"/>
  <c r="G3" i="7"/>
  <c r="F3" i="7"/>
  <c r="E3" i="7"/>
  <c r="D3" i="7"/>
  <c r="C3" i="7"/>
  <c r="AA2" i="7"/>
  <c r="G2" i="7"/>
  <c r="F2" i="7"/>
  <c r="E2" i="7"/>
  <c r="D2" i="7"/>
  <c r="C2" i="7"/>
  <c r="AB1" i="7"/>
  <c r="AA1" i="7"/>
  <c r="M382" i="21"/>
  <c r="L382" i="21"/>
  <c r="F382" i="21"/>
  <c r="O382" i="20"/>
  <c r="E413" i="23"/>
  <c r="C413" i="23"/>
  <c r="E412" i="23"/>
  <c r="C412" i="23"/>
  <c r="E411" i="23"/>
  <c r="C411" i="23"/>
  <c r="E410" i="23"/>
  <c r="C410" i="23"/>
  <c r="X390" i="23"/>
  <c r="W390" i="23"/>
  <c r="V390" i="23"/>
  <c r="U390" i="23"/>
  <c r="T390" i="23"/>
  <c r="S390" i="23"/>
  <c r="R390" i="23"/>
  <c r="Q390" i="23"/>
  <c r="P390" i="23"/>
  <c r="O390" i="23"/>
  <c r="N390" i="23"/>
  <c r="L390" i="23"/>
  <c r="K390" i="23"/>
  <c r="J390" i="23"/>
  <c r="I390" i="23"/>
  <c r="H390" i="23"/>
  <c r="G390" i="23"/>
  <c r="F390" i="23"/>
  <c r="E390" i="23"/>
  <c r="C390" i="23"/>
  <c r="E389" i="23"/>
  <c r="C389" i="23"/>
  <c r="E388" i="23"/>
  <c r="C388" i="23"/>
  <c r="E387" i="23"/>
  <c r="C387" i="23"/>
  <c r="E386" i="23"/>
  <c r="C386" i="23"/>
  <c r="E385" i="23"/>
  <c r="C385" i="23"/>
  <c r="E384" i="23"/>
  <c r="C384" i="23"/>
  <c r="E383" i="23"/>
  <c r="C383" i="23"/>
  <c r="E382" i="23"/>
  <c r="C382" i="23"/>
  <c r="E381" i="23"/>
  <c r="C381" i="23"/>
  <c r="E380" i="23"/>
  <c r="C380" i="23"/>
  <c r="E379" i="23"/>
  <c r="C379" i="23"/>
  <c r="E378" i="23"/>
  <c r="C378" i="23"/>
  <c r="E377" i="23"/>
  <c r="C377" i="23"/>
  <c r="E376" i="23"/>
  <c r="C376" i="23"/>
  <c r="E375" i="23"/>
  <c r="C375" i="23"/>
  <c r="E374" i="23"/>
  <c r="C374" i="23"/>
  <c r="E373" i="23"/>
  <c r="C373" i="23"/>
  <c r="E372" i="23"/>
  <c r="C372" i="23"/>
  <c r="E371" i="23"/>
  <c r="C371" i="23"/>
  <c r="E370" i="23"/>
  <c r="C370" i="23"/>
  <c r="E369" i="23"/>
  <c r="C369" i="23"/>
  <c r="E368" i="23"/>
  <c r="C368" i="23"/>
  <c r="E367" i="23"/>
  <c r="C367" i="23"/>
  <c r="E366" i="23"/>
  <c r="C366" i="23"/>
  <c r="E365" i="23"/>
  <c r="C365" i="23"/>
  <c r="E364" i="23"/>
  <c r="C364" i="23"/>
  <c r="E363" i="23"/>
  <c r="C363" i="23"/>
  <c r="E362" i="23"/>
  <c r="C362" i="23"/>
  <c r="E361" i="23"/>
  <c r="C361" i="23"/>
  <c r="E360" i="23"/>
  <c r="C360" i="23"/>
  <c r="E359" i="23"/>
  <c r="C359" i="23"/>
  <c r="E358" i="23"/>
  <c r="C358" i="23"/>
  <c r="E357" i="23"/>
  <c r="C357" i="23"/>
  <c r="E356" i="23"/>
  <c r="C356" i="23"/>
  <c r="E355" i="23"/>
  <c r="C355" i="23"/>
  <c r="E354" i="23"/>
  <c r="C354" i="23"/>
  <c r="E353" i="23"/>
  <c r="C353" i="23"/>
  <c r="E352" i="23"/>
  <c r="C352" i="23"/>
  <c r="E351" i="23"/>
  <c r="C351" i="23"/>
  <c r="E350" i="23"/>
  <c r="C350" i="23"/>
  <c r="E349" i="23"/>
  <c r="C349" i="23"/>
  <c r="E348" i="23"/>
  <c r="C348" i="23"/>
  <c r="E347" i="23"/>
  <c r="C347" i="23"/>
  <c r="E346" i="23"/>
  <c r="C346" i="23"/>
  <c r="E345" i="23"/>
  <c r="C345" i="23"/>
  <c r="E344" i="23"/>
  <c r="C344" i="23"/>
  <c r="E343" i="23"/>
  <c r="C343" i="23"/>
  <c r="E342" i="23"/>
  <c r="C342" i="23"/>
  <c r="E341" i="23"/>
  <c r="C341" i="23"/>
  <c r="E340" i="23"/>
  <c r="C340" i="23"/>
  <c r="E339" i="23"/>
  <c r="C339" i="23"/>
  <c r="E338" i="23"/>
  <c r="C338" i="23"/>
  <c r="E337" i="23"/>
  <c r="C337" i="23"/>
  <c r="E336" i="23"/>
  <c r="C336" i="23"/>
  <c r="E335" i="23"/>
  <c r="C335" i="23"/>
  <c r="E334" i="23"/>
  <c r="C334" i="23"/>
  <c r="E333" i="23"/>
  <c r="C333" i="23"/>
  <c r="E332" i="23"/>
  <c r="C332" i="23"/>
  <c r="E331" i="23"/>
  <c r="C331" i="23"/>
  <c r="E330" i="23"/>
  <c r="C330" i="23"/>
  <c r="E329" i="23"/>
  <c r="C329" i="23"/>
  <c r="E328" i="23"/>
  <c r="C328" i="23"/>
  <c r="E327" i="23"/>
  <c r="C327" i="23"/>
  <c r="E326" i="23"/>
  <c r="C326" i="23"/>
  <c r="E325" i="23"/>
  <c r="C325" i="23"/>
  <c r="E324" i="23"/>
  <c r="C324" i="23"/>
  <c r="E323" i="23"/>
  <c r="C323" i="23"/>
  <c r="E322" i="23"/>
  <c r="C322" i="23"/>
  <c r="E321" i="23"/>
  <c r="C321" i="23"/>
  <c r="E320" i="23"/>
  <c r="C320" i="23"/>
  <c r="E319" i="23"/>
  <c r="C319" i="23"/>
  <c r="E318" i="23"/>
  <c r="C318" i="23"/>
  <c r="E317" i="23"/>
  <c r="C317" i="23"/>
  <c r="E316" i="23"/>
  <c r="C316" i="23"/>
  <c r="E315" i="23"/>
  <c r="C315" i="23"/>
  <c r="E314" i="23"/>
  <c r="C314" i="23"/>
  <c r="E313" i="23"/>
  <c r="C313" i="23"/>
  <c r="E312" i="23"/>
  <c r="C312" i="23"/>
  <c r="E311" i="23"/>
  <c r="C311" i="23"/>
  <c r="E310" i="23"/>
  <c r="C310" i="23"/>
  <c r="E309" i="23"/>
  <c r="C309" i="23"/>
  <c r="E308" i="23"/>
  <c r="C308" i="23"/>
  <c r="E307" i="23"/>
  <c r="C307" i="23"/>
  <c r="E306" i="23"/>
  <c r="C306" i="23"/>
  <c r="E305" i="23"/>
  <c r="C305" i="23"/>
  <c r="E304" i="23"/>
  <c r="C304" i="23"/>
  <c r="E303" i="23"/>
  <c r="C303" i="23"/>
  <c r="E302" i="23"/>
  <c r="C302" i="23"/>
  <c r="E301" i="23"/>
  <c r="C301" i="23"/>
  <c r="E300" i="23"/>
  <c r="C300" i="23"/>
  <c r="E299" i="23"/>
  <c r="C299" i="23"/>
  <c r="E298" i="23"/>
  <c r="C298" i="23"/>
  <c r="E297" i="23"/>
  <c r="C297" i="23"/>
  <c r="E296" i="23"/>
  <c r="C296" i="23"/>
  <c r="E295" i="23"/>
  <c r="C295" i="23"/>
  <c r="E294" i="23"/>
  <c r="C294" i="23"/>
  <c r="E293" i="23"/>
  <c r="C293" i="23"/>
  <c r="E292" i="23"/>
  <c r="C292" i="23"/>
  <c r="E291" i="23"/>
  <c r="C291" i="23"/>
  <c r="E290" i="23"/>
  <c r="C290" i="23"/>
  <c r="E289" i="23"/>
  <c r="C289" i="23"/>
  <c r="E288" i="23"/>
  <c r="C288" i="23"/>
  <c r="E287" i="23"/>
  <c r="C287" i="23"/>
  <c r="E286" i="23"/>
  <c r="C286" i="23"/>
  <c r="E285" i="23"/>
  <c r="C285" i="23"/>
  <c r="E284" i="23"/>
  <c r="C284" i="23"/>
  <c r="E283" i="23"/>
  <c r="C283" i="23"/>
  <c r="E282" i="23"/>
  <c r="C282" i="23"/>
  <c r="E281" i="23"/>
  <c r="C281" i="23"/>
  <c r="E280" i="23"/>
  <c r="C280" i="23"/>
  <c r="E279" i="23"/>
  <c r="C279" i="23"/>
  <c r="E278" i="23"/>
  <c r="C278" i="23"/>
  <c r="E277" i="23"/>
  <c r="C277" i="23"/>
  <c r="E276" i="23"/>
  <c r="C276" i="23"/>
  <c r="E275" i="23"/>
  <c r="C275" i="23"/>
  <c r="E274" i="23"/>
  <c r="C274" i="23"/>
  <c r="E273" i="23"/>
  <c r="C273" i="23"/>
  <c r="E272" i="23"/>
  <c r="C272" i="23"/>
  <c r="E271" i="23"/>
  <c r="C271" i="23"/>
  <c r="E270" i="23"/>
  <c r="C270" i="23"/>
  <c r="E269" i="23"/>
  <c r="C269" i="23"/>
  <c r="E268" i="23"/>
  <c r="C268" i="23"/>
  <c r="E267" i="23"/>
  <c r="C267" i="23"/>
  <c r="E266" i="23"/>
  <c r="C266" i="23"/>
  <c r="E265" i="23"/>
  <c r="C265" i="23"/>
  <c r="E264" i="23"/>
  <c r="C264" i="23"/>
  <c r="E263" i="23"/>
  <c r="C263" i="23"/>
  <c r="E262" i="23"/>
  <c r="C262" i="23"/>
  <c r="E261" i="23"/>
  <c r="C261" i="23"/>
  <c r="E260" i="23"/>
  <c r="C260" i="23"/>
  <c r="E259" i="23"/>
  <c r="C259" i="23"/>
  <c r="E258" i="23"/>
  <c r="C258" i="23"/>
  <c r="E257" i="23"/>
  <c r="C257" i="23"/>
  <c r="E256" i="23"/>
  <c r="C256" i="23"/>
  <c r="E255" i="23"/>
  <c r="C255" i="23"/>
  <c r="E254" i="23"/>
  <c r="C254" i="23"/>
  <c r="E253" i="23"/>
  <c r="C253" i="23"/>
  <c r="E252" i="23"/>
  <c r="C252" i="23"/>
  <c r="E251" i="23"/>
  <c r="C251" i="23"/>
  <c r="E250" i="23"/>
  <c r="C250" i="23"/>
  <c r="E249" i="23"/>
  <c r="C249" i="23"/>
  <c r="E248" i="23"/>
  <c r="C248" i="23"/>
  <c r="E247" i="23"/>
  <c r="C247" i="23"/>
  <c r="E246" i="23"/>
  <c r="C246" i="23"/>
  <c r="E245" i="23"/>
  <c r="C245" i="23"/>
  <c r="E244" i="23"/>
  <c r="C244" i="23"/>
  <c r="E243" i="23"/>
  <c r="C243" i="23"/>
  <c r="E242" i="23"/>
  <c r="C242" i="23"/>
  <c r="E241" i="23"/>
  <c r="C241" i="23"/>
  <c r="E240" i="23"/>
  <c r="C240" i="23"/>
  <c r="E239" i="23"/>
  <c r="C239" i="23"/>
  <c r="E238" i="23"/>
  <c r="C238" i="23"/>
  <c r="E237" i="23"/>
  <c r="C237" i="23"/>
  <c r="E236" i="23"/>
  <c r="C236" i="23"/>
  <c r="E235" i="23"/>
  <c r="C235" i="23"/>
  <c r="E234" i="23"/>
  <c r="C234" i="23"/>
  <c r="E233" i="23"/>
  <c r="C233" i="23"/>
  <c r="E232" i="23"/>
  <c r="C232" i="23"/>
  <c r="E231" i="23"/>
  <c r="C231" i="23"/>
  <c r="E230" i="23"/>
  <c r="C230" i="23"/>
  <c r="E229" i="23"/>
  <c r="C229" i="23"/>
  <c r="E228" i="23"/>
  <c r="C228" i="23"/>
  <c r="E227" i="23"/>
  <c r="C227" i="23"/>
  <c r="E226" i="23"/>
  <c r="C226" i="23"/>
  <c r="E225" i="23"/>
  <c r="C225" i="23"/>
  <c r="E224" i="23"/>
  <c r="C224" i="23"/>
  <c r="E223" i="23"/>
  <c r="C223" i="23"/>
  <c r="E222" i="23"/>
  <c r="C222" i="23"/>
  <c r="E221" i="23"/>
  <c r="C221" i="23"/>
  <c r="E220" i="23"/>
  <c r="C220" i="23"/>
  <c r="E219" i="23"/>
  <c r="C219" i="23"/>
  <c r="E218" i="23"/>
  <c r="C218" i="23"/>
  <c r="E217" i="23"/>
  <c r="C217" i="23"/>
  <c r="E216" i="23"/>
  <c r="C216" i="23"/>
  <c r="E215" i="23"/>
  <c r="C215" i="23"/>
  <c r="E214" i="23"/>
  <c r="C214" i="23"/>
  <c r="E213" i="23"/>
  <c r="C213" i="23"/>
  <c r="E212" i="23"/>
  <c r="C212" i="23"/>
  <c r="E211" i="23"/>
  <c r="C211" i="23"/>
  <c r="E210" i="23"/>
  <c r="C210" i="23"/>
  <c r="E209" i="23"/>
  <c r="C209" i="23"/>
  <c r="E208" i="23"/>
  <c r="C208" i="23"/>
  <c r="E207" i="23"/>
  <c r="C207" i="23"/>
  <c r="E206" i="23"/>
  <c r="C206" i="23"/>
  <c r="E205" i="23"/>
  <c r="C205" i="23"/>
  <c r="E204" i="23"/>
  <c r="C204" i="23"/>
  <c r="E203" i="23"/>
  <c r="C203" i="23"/>
  <c r="E202" i="23"/>
  <c r="C202" i="23"/>
  <c r="E201" i="23"/>
  <c r="C201" i="23"/>
  <c r="E200" i="23"/>
  <c r="C200" i="23"/>
  <c r="E199" i="23"/>
  <c r="C199" i="23"/>
  <c r="E198" i="23"/>
  <c r="C198" i="23"/>
  <c r="E197" i="23"/>
  <c r="C197" i="23"/>
  <c r="E196" i="23"/>
  <c r="C196" i="23"/>
  <c r="E195" i="23"/>
  <c r="C195" i="23"/>
  <c r="E194" i="23"/>
  <c r="C194" i="23"/>
  <c r="E193" i="23"/>
  <c r="C193" i="23"/>
  <c r="E192" i="23"/>
  <c r="C192" i="23"/>
  <c r="E191" i="23"/>
  <c r="C191" i="23"/>
  <c r="E190" i="23"/>
  <c r="C190" i="23"/>
  <c r="E189" i="23"/>
  <c r="C189" i="23"/>
  <c r="E188" i="23"/>
  <c r="C188" i="23"/>
  <c r="E187" i="23"/>
  <c r="C187" i="23"/>
  <c r="E186" i="23"/>
  <c r="C186" i="23"/>
  <c r="E185" i="23"/>
  <c r="C185" i="23"/>
  <c r="E184" i="23"/>
  <c r="C184" i="23"/>
  <c r="E183" i="23"/>
  <c r="C183" i="23"/>
  <c r="E182" i="23"/>
  <c r="C182" i="23"/>
  <c r="E181" i="23"/>
  <c r="C181" i="23"/>
  <c r="E180" i="23"/>
  <c r="C180" i="23"/>
  <c r="E179" i="23"/>
  <c r="C179" i="23"/>
  <c r="E178" i="23"/>
  <c r="C178" i="23"/>
  <c r="E177" i="23"/>
  <c r="C177" i="23"/>
  <c r="E176" i="23"/>
  <c r="C176" i="23"/>
  <c r="E175" i="23"/>
  <c r="C175" i="23"/>
  <c r="E174" i="23"/>
  <c r="C174" i="23"/>
  <c r="E173" i="23"/>
  <c r="C173" i="23"/>
  <c r="E172" i="23"/>
  <c r="C172" i="23"/>
  <c r="E171" i="23"/>
  <c r="C171" i="23"/>
  <c r="E170" i="23"/>
  <c r="C170" i="23"/>
  <c r="E169" i="23"/>
  <c r="C169" i="23"/>
  <c r="E168" i="23"/>
  <c r="C168" i="23"/>
  <c r="E167" i="23"/>
  <c r="C167" i="23"/>
  <c r="E166" i="23"/>
  <c r="C166" i="23"/>
  <c r="E165" i="23"/>
  <c r="C165" i="23"/>
  <c r="E164" i="23"/>
  <c r="C164" i="23"/>
  <c r="E163" i="23"/>
  <c r="C163" i="23"/>
  <c r="E162" i="23"/>
  <c r="C162" i="23"/>
  <c r="E161" i="23"/>
  <c r="C161" i="23"/>
  <c r="E160" i="23"/>
  <c r="C160" i="23"/>
  <c r="E159" i="23"/>
  <c r="C159" i="23"/>
  <c r="E158" i="23"/>
  <c r="C158" i="23"/>
  <c r="E157" i="23"/>
  <c r="C157" i="23"/>
  <c r="E156" i="23"/>
  <c r="C156" i="23"/>
  <c r="E155" i="23"/>
  <c r="C155" i="23"/>
  <c r="E154" i="23"/>
  <c r="C154" i="23"/>
  <c r="E153" i="23"/>
  <c r="C153" i="23"/>
  <c r="E152" i="23"/>
  <c r="C152" i="23"/>
  <c r="E151" i="23"/>
  <c r="C151" i="23"/>
  <c r="E150" i="23"/>
  <c r="C150" i="23"/>
  <c r="E149" i="23"/>
  <c r="C149" i="23"/>
  <c r="E148" i="23"/>
  <c r="C148" i="23"/>
  <c r="E147" i="23"/>
  <c r="C147" i="23"/>
  <c r="E146" i="23"/>
  <c r="C146" i="23"/>
  <c r="E145" i="23"/>
  <c r="C145" i="23"/>
  <c r="E144" i="23"/>
  <c r="C144" i="23"/>
  <c r="E143" i="23"/>
  <c r="C143" i="23"/>
  <c r="E142" i="23"/>
  <c r="C142" i="23"/>
  <c r="E141" i="23"/>
  <c r="C141" i="23"/>
  <c r="E140" i="23"/>
  <c r="C140" i="23"/>
  <c r="E139" i="23"/>
  <c r="C139" i="23"/>
  <c r="E138" i="23"/>
  <c r="C138" i="23"/>
  <c r="E137" i="23"/>
  <c r="C137" i="23"/>
  <c r="E136" i="23"/>
  <c r="C136" i="23"/>
  <c r="E135" i="23"/>
  <c r="C135" i="23"/>
  <c r="E134" i="23"/>
  <c r="C134" i="23"/>
  <c r="E133" i="23"/>
  <c r="C133" i="23"/>
  <c r="E132" i="23"/>
  <c r="C132" i="23"/>
  <c r="E131" i="23"/>
  <c r="C131" i="23"/>
  <c r="E130" i="23"/>
  <c r="C130" i="23"/>
  <c r="E129" i="23"/>
  <c r="C129" i="23"/>
  <c r="E128" i="23"/>
  <c r="C128" i="23"/>
  <c r="E127" i="23"/>
  <c r="C127" i="23"/>
  <c r="E126" i="23"/>
  <c r="C126" i="23"/>
  <c r="E125" i="23"/>
  <c r="C125" i="23"/>
  <c r="E124" i="23"/>
  <c r="C124" i="23"/>
  <c r="E123" i="23"/>
  <c r="C123" i="23"/>
  <c r="E122" i="23"/>
  <c r="C122" i="23"/>
  <c r="E121" i="23"/>
  <c r="C121" i="23"/>
  <c r="E120" i="23"/>
  <c r="C120" i="23"/>
  <c r="E119" i="23"/>
  <c r="C119" i="23"/>
  <c r="E118" i="23"/>
  <c r="C118" i="23"/>
  <c r="E117" i="23"/>
  <c r="C117" i="23"/>
  <c r="E116" i="23"/>
  <c r="C116" i="23"/>
  <c r="E115" i="23"/>
  <c r="C115" i="23"/>
  <c r="E114" i="23"/>
  <c r="C114" i="23"/>
  <c r="E113" i="23"/>
  <c r="C113" i="23"/>
  <c r="E112" i="23"/>
  <c r="C112" i="23"/>
  <c r="E111" i="23"/>
  <c r="C111" i="23"/>
  <c r="E110" i="23"/>
  <c r="C110" i="23"/>
  <c r="E109" i="23"/>
  <c r="C109" i="23"/>
  <c r="E108" i="23"/>
  <c r="C108" i="23"/>
  <c r="E107" i="23"/>
  <c r="C107" i="23"/>
  <c r="E106" i="23"/>
  <c r="C106" i="23"/>
  <c r="E105" i="23"/>
  <c r="C105" i="23"/>
  <c r="E104" i="23"/>
  <c r="C104" i="23"/>
  <c r="E103" i="23"/>
  <c r="C103" i="23"/>
  <c r="E102" i="23"/>
  <c r="C102" i="23"/>
  <c r="E101" i="23"/>
  <c r="C101" i="23"/>
  <c r="E100" i="23"/>
  <c r="C100" i="23"/>
  <c r="E99" i="23"/>
  <c r="C99" i="23"/>
  <c r="E98" i="23"/>
  <c r="C98" i="23"/>
  <c r="E97" i="23"/>
  <c r="C97" i="23"/>
  <c r="E96" i="23"/>
  <c r="C96" i="23"/>
  <c r="E95" i="23"/>
  <c r="C95" i="23"/>
  <c r="E94" i="23"/>
  <c r="C94" i="23"/>
  <c r="E93" i="23"/>
  <c r="C93" i="23"/>
  <c r="E92" i="23"/>
  <c r="C92" i="23"/>
  <c r="E91" i="23"/>
  <c r="C91" i="23"/>
  <c r="E90" i="23"/>
  <c r="C90" i="23"/>
  <c r="E89" i="23"/>
  <c r="C89" i="23"/>
  <c r="E88" i="23"/>
  <c r="C88" i="23"/>
  <c r="E87" i="23"/>
  <c r="C87" i="23"/>
  <c r="E86" i="23"/>
  <c r="C86" i="23"/>
  <c r="E85" i="23"/>
  <c r="C85" i="23"/>
  <c r="E84" i="23"/>
  <c r="C84" i="23"/>
  <c r="E83" i="23"/>
  <c r="C83" i="23"/>
  <c r="E82" i="23"/>
  <c r="C82" i="23"/>
  <c r="E81" i="23"/>
  <c r="C81" i="23"/>
  <c r="E80" i="23"/>
  <c r="C80" i="23"/>
  <c r="E79" i="23"/>
  <c r="C79" i="23"/>
  <c r="E78" i="23"/>
  <c r="C78" i="23"/>
  <c r="E77" i="23"/>
  <c r="C77" i="23"/>
  <c r="E76" i="23"/>
  <c r="C76" i="23"/>
  <c r="E75" i="23"/>
  <c r="C75" i="23"/>
  <c r="E74" i="23"/>
  <c r="C74" i="23"/>
  <c r="E73" i="23"/>
  <c r="C73" i="23"/>
  <c r="E72" i="23"/>
  <c r="C72" i="23"/>
  <c r="E71" i="23"/>
  <c r="C71" i="23"/>
  <c r="E70" i="23"/>
  <c r="C70" i="23"/>
  <c r="E69" i="23"/>
  <c r="C69" i="23"/>
  <c r="E68" i="23"/>
  <c r="C68" i="23"/>
  <c r="E67" i="23"/>
  <c r="C67" i="23"/>
  <c r="E66" i="23"/>
  <c r="C66" i="23"/>
  <c r="E65" i="23"/>
  <c r="C65" i="23"/>
  <c r="E64" i="23"/>
  <c r="C64" i="23"/>
  <c r="E63" i="23"/>
  <c r="C63" i="23"/>
  <c r="E62" i="23"/>
  <c r="C62" i="23"/>
  <c r="E61" i="23"/>
  <c r="C61" i="23"/>
  <c r="E60" i="23"/>
  <c r="C60" i="23"/>
  <c r="E59" i="23"/>
  <c r="C59" i="23"/>
  <c r="E58" i="23"/>
  <c r="C58" i="23"/>
  <c r="E57" i="23"/>
  <c r="C57" i="23"/>
  <c r="E56" i="23"/>
  <c r="C56" i="23"/>
  <c r="E55" i="23"/>
  <c r="C55" i="23"/>
  <c r="E54" i="23"/>
  <c r="C54" i="23"/>
  <c r="E53" i="23"/>
  <c r="C53" i="23"/>
  <c r="E52" i="23"/>
  <c r="C52" i="23"/>
  <c r="E51" i="23"/>
  <c r="C51" i="23"/>
  <c r="E50" i="23"/>
  <c r="C50" i="23"/>
  <c r="E49" i="23"/>
  <c r="C49" i="23"/>
  <c r="E48" i="23"/>
  <c r="C48" i="23"/>
  <c r="E47" i="23"/>
  <c r="C47" i="23"/>
  <c r="E46" i="23"/>
  <c r="C46" i="23"/>
  <c r="E45" i="23"/>
  <c r="C45" i="23"/>
  <c r="E44" i="23"/>
  <c r="C44" i="23"/>
  <c r="E43" i="23"/>
  <c r="C43" i="23"/>
  <c r="E42" i="23"/>
  <c r="C42" i="23"/>
  <c r="E41" i="23"/>
  <c r="C41" i="23"/>
  <c r="E40" i="23"/>
  <c r="C40" i="23"/>
  <c r="E39" i="23"/>
  <c r="C39" i="23"/>
  <c r="E38" i="23"/>
  <c r="C38" i="23"/>
  <c r="E37" i="23"/>
  <c r="C37" i="23"/>
  <c r="E36" i="23"/>
  <c r="C36" i="23"/>
  <c r="E35" i="23"/>
  <c r="C35" i="23"/>
  <c r="E34" i="23"/>
  <c r="C34" i="23"/>
  <c r="E33" i="23"/>
  <c r="C33" i="23"/>
  <c r="E32" i="23"/>
  <c r="C32" i="23"/>
  <c r="E31" i="23"/>
  <c r="C31" i="23"/>
  <c r="E30" i="23"/>
  <c r="C30" i="23"/>
  <c r="E29" i="23"/>
  <c r="C29" i="23"/>
  <c r="E28" i="23"/>
  <c r="C28" i="23"/>
  <c r="E27" i="23"/>
  <c r="C27" i="23"/>
  <c r="E26" i="23"/>
  <c r="C26" i="23"/>
  <c r="E25" i="23"/>
  <c r="C25" i="23"/>
  <c r="E24" i="23"/>
  <c r="C24" i="23"/>
  <c r="E23" i="23"/>
  <c r="C23" i="23"/>
  <c r="E22" i="23"/>
  <c r="C22" i="23"/>
  <c r="E21" i="23"/>
  <c r="C21" i="23"/>
  <c r="E20" i="23"/>
  <c r="C20" i="23"/>
  <c r="E19" i="23"/>
  <c r="C19" i="23"/>
  <c r="E18" i="23"/>
  <c r="C18" i="23"/>
  <c r="E17" i="23"/>
  <c r="C17" i="23"/>
  <c r="E16" i="23"/>
  <c r="C16" i="23"/>
  <c r="E15" i="23"/>
  <c r="C15" i="23"/>
  <c r="E14" i="23"/>
  <c r="C14" i="23"/>
  <c r="E13" i="23"/>
  <c r="C13" i="23"/>
  <c r="E12" i="23"/>
  <c r="C12" i="23"/>
  <c r="E11" i="23"/>
  <c r="C11" i="23"/>
  <c r="E10" i="23"/>
  <c r="C10" i="23"/>
  <c r="E9" i="23"/>
  <c r="C9" i="23"/>
  <c r="E8" i="23"/>
  <c r="C8" i="23"/>
  <c r="E7" i="23"/>
  <c r="C7" i="23"/>
  <c r="E6" i="23"/>
  <c r="C6" i="23"/>
  <c r="E5" i="23"/>
  <c r="C5" i="23"/>
  <c r="E4" i="23"/>
  <c r="C4" i="23"/>
  <c r="E3" i="23"/>
  <c r="C3" i="23"/>
  <c r="E2" i="23"/>
  <c r="C2" i="23"/>
  <c r="H89" i="1"/>
  <c r="G89" i="1"/>
  <c r="C89" i="1"/>
  <c r="H88" i="1"/>
  <c r="G88" i="1"/>
  <c r="C88" i="1"/>
  <c r="H87" i="1"/>
  <c r="G87" i="1"/>
  <c r="C87" i="1"/>
  <c r="H86" i="1"/>
  <c r="G86" i="1"/>
  <c r="C86" i="1"/>
  <c r="H85" i="1"/>
  <c r="G85" i="1"/>
  <c r="C85" i="1"/>
  <c r="C83" i="1"/>
  <c r="C82" i="1"/>
  <c r="C80" i="1"/>
  <c r="C77" i="1"/>
  <c r="C76" i="1"/>
  <c r="C75" i="1"/>
  <c r="C73" i="1"/>
  <c r="C70" i="1"/>
  <c r="C69" i="1"/>
  <c r="C68" i="1"/>
  <c r="G67" i="1"/>
  <c r="G66" i="1"/>
  <c r="C66" i="1"/>
  <c r="G64" i="1"/>
  <c r="C62" i="1"/>
  <c r="H60" i="1"/>
  <c r="C60" i="1"/>
  <c r="C58" i="1"/>
  <c r="G55" i="1"/>
  <c r="C55" i="1"/>
  <c r="G53" i="1"/>
  <c r="C53" i="1"/>
  <c r="C52" i="1"/>
  <c r="C50" i="1"/>
  <c r="C46" i="1"/>
  <c r="C45" i="1"/>
  <c r="C44" i="1"/>
  <c r="G43" i="1"/>
  <c r="C43" i="1"/>
  <c r="C42" i="1"/>
  <c r="H41" i="1"/>
  <c r="G41" i="1"/>
  <c r="C40" i="1"/>
  <c r="N39" i="1"/>
  <c r="M39" i="1"/>
  <c r="L39" i="1"/>
  <c r="K39" i="1"/>
  <c r="J39" i="1"/>
  <c r="I39" i="1"/>
  <c r="H39" i="1"/>
  <c r="G39" i="1"/>
  <c r="N38" i="1"/>
  <c r="M38" i="1"/>
  <c r="L38" i="1"/>
  <c r="K38" i="1"/>
  <c r="J38" i="1"/>
  <c r="I38" i="1"/>
  <c r="H38" i="1"/>
  <c r="N37" i="1"/>
  <c r="M37" i="1"/>
  <c r="L37" i="1"/>
  <c r="K37" i="1"/>
  <c r="J37" i="1"/>
  <c r="I37" i="1"/>
  <c r="H37" i="1"/>
  <c r="C37" i="1"/>
  <c r="N36" i="1"/>
  <c r="M36" i="1"/>
  <c r="L36" i="1"/>
  <c r="K36" i="1"/>
  <c r="J36" i="1"/>
  <c r="I36" i="1"/>
  <c r="H36" i="1"/>
  <c r="C36" i="1"/>
  <c r="N35" i="1"/>
  <c r="M35" i="1"/>
  <c r="L35" i="1"/>
  <c r="K35" i="1"/>
  <c r="J35" i="1"/>
  <c r="I35" i="1"/>
  <c r="H35" i="1"/>
  <c r="C35" i="1"/>
  <c r="Q34" i="1"/>
  <c r="N34" i="1"/>
  <c r="M34" i="1"/>
  <c r="L34" i="1"/>
  <c r="K34" i="1"/>
  <c r="J34" i="1"/>
  <c r="I34" i="1"/>
  <c r="H34" i="1"/>
  <c r="C34" i="1"/>
  <c r="Q33" i="1"/>
  <c r="N33" i="1"/>
  <c r="M33" i="1"/>
  <c r="L33" i="1"/>
  <c r="K33" i="1"/>
  <c r="J33" i="1"/>
  <c r="I33" i="1"/>
  <c r="H33" i="1"/>
  <c r="Q32" i="1"/>
  <c r="N32" i="1"/>
  <c r="M32" i="1"/>
  <c r="L32" i="1"/>
  <c r="K32" i="1"/>
  <c r="J32" i="1"/>
  <c r="I32" i="1"/>
  <c r="H32" i="1"/>
  <c r="G32" i="1"/>
  <c r="C32" i="1"/>
  <c r="Q31" i="1"/>
  <c r="N31" i="1"/>
  <c r="M31" i="1"/>
  <c r="L31" i="1"/>
  <c r="K31" i="1"/>
  <c r="J31" i="1"/>
  <c r="I31" i="1"/>
  <c r="H31" i="1"/>
  <c r="Q30" i="1"/>
  <c r="N30" i="1"/>
  <c r="M30" i="1"/>
  <c r="L30" i="1"/>
  <c r="J30" i="1"/>
  <c r="I30" i="1"/>
  <c r="H30" i="1"/>
  <c r="G30" i="1"/>
  <c r="Q29" i="1"/>
  <c r="C27" i="1"/>
  <c r="M26" i="1"/>
  <c r="C26" i="1"/>
  <c r="M25" i="1"/>
  <c r="C25" i="1"/>
  <c r="M24" i="1"/>
  <c r="C24" i="1"/>
  <c r="M23" i="1"/>
  <c r="G23" i="1"/>
  <c r="C22" i="1"/>
  <c r="M21" i="1"/>
  <c r="G21" i="1"/>
  <c r="M20" i="1"/>
  <c r="M19" i="1"/>
  <c r="M18" i="1"/>
  <c r="G17" i="1"/>
  <c r="G16" i="1"/>
  <c r="M15" i="1"/>
  <c r="G15" i="1"/>
  <c r="M14" i="1"/>
  <c r="J14" i="1"/>
  <c r="G14" i="1"/>
  <c r="C14" i="1"/>
  <c r="N13" i="1"/>
  <c r="M13" i="1"/>
  <c r="G13" i="1"/>
  <c r="C13" i="1"/>
  <c r="M12" i="1"/>
  <c r="J12" i="1"/>
  <c r="C12" i="1"/>
  <c r="M11" i="1"/>
  <c r="K11" i="1"/>
  <c r="J11" i="1"/>
  <c r="G11" i="1"/>
  <c r="C11" i="1"/>
  <c r="Q10" i="1"/>
  <c r="M10" i="1"/>
  <c r="J10" i="1"/>
  <c r="Q9" i="1"/>
  <c r="M9" i="1"/>
  <c r="J9" i="1"/>
  <c r="C9" i="1"/>
  <c r="Q8" i="1"/>
  <c r="M8" i="1"/>
  <c r="J8" i="1"/>
  <c r="Q7" i="1"/>
  <c r="J7" i="1"/>
  <c r="C7" i="1"/>
  <c r="Q6" i="1"/>
  <c r="N6" i="1"/>
  <c r="M6" i="1"/>
  <c r="J6" i="1"/>
  <c r="G6" i="1"/>
  <c r="C6" i="1"/>
  <c r="S5" i="1"/>
  <c r="Q5" i="1"/>
  <c r="N5" i="1"/>
  <c r="M5" i="1"/>
  <c r="J5" i="1"/>
  <c r="G5" i="1"/>
  <c r="C5" i="1"/>
  <c r="S4" i="1"/>
  <c r="Q4" i="1"/>
  <c r="J4" i="1"/>
  <c r="C4" i="1"/>
  <c r="S3" i="1"/>
  <c r="Q3" i="1"/>
  <c r="N3" i="1"/>
  <c r="M3" i="1"/>
  <c r="J3" i="1"/>
  <c r="C3" i="1"/>
  <c r="S2" i="1"/>
  <c r="Q2" i="1"/>
  <c r="N2" i="1"/>
  <c r="M2" i="1"/>
  <c r="J2" i="1"/>
  <c r="G2" i="1"/>
  <c r="C2" i="1"/>
  <c r="G1" i="1"/>
  <c r="C1" i="1"/>
  <c r="R73" i="3"/>
  <c r="P73" i="3"/>
  <c r="O73" i="3"/>
  <c r="N73" i="3"/>
  <c r="M73" i="3"/>
  <c r="L73" i="3"/>
  <c r="K73" i="3"/>
  <c r="J73" i="3"/>
  <c r="I73" i="3"/>
  <c r="H73" i="3"/>
  <c r="G73" i="3"/>
  <c r="F73" i="3"/>
  <c r="E73" i="3"/>
  <c r="D73" i="3"/>
  <c r="C73" i="3"/>
  <c r="T72" i="3"/>
  <c r="S72" i="3"/>
  <c r="R72" i="3"/>
  <c r="Q72" i="3"/>
  <c r="P72" i="3"/>
  <c r="O72" i="3"/>
  <c r="N72" i="3"/>
  <c r="J72" i="3"/>
  <c r="I72" i="3"/>
  <c r="E72" i="3"/>
  <c r="D72" i="3"/>
  <c r="C72" i="3"/>
  <c r="R71" i="3"/>
  <c r="P71" i="3"/>
  <c r="O71" i="3"/>
  <c r="N71" i="3"/>
  <c r="M71" i="3"/>
  <c r="L71" i="3"/>
  <c r="K71" i="3"/>
  <c r="J71" i="3"/>
  <c r="I71" i="3"/>
  <c r="H71" i="3"/>
  <c r="G71" i="3"/>
  <c r="F71" i="3"/>
  <c r="E71" i="3"/>
  <c r="D71" i="3"/>
  <c r="C71" i="3"/>
  <c r="T70" i="3"/>
  <c r="S70" i="3"/>
  <c r="R70" i="3"/>
  <c r="Q70" i="3"/>
  <c r="P70" i="3"/>
  <c r="O70" i="3"/>
  <c r="N70" i="3"/>
  <c r="J70" i="3"/>
  <c r="I70" i="3"/>
  <c r="E70" i="3"/>
  <c r="D70" i="3"/>
  <c r="C70" i="3"/>
  <c r="R69" i="3"/>
  <c r="P69" i="3"/>
  <c r="O69" i="3"/>
  <c r="N69" i="3"/>
  <c r="M69" i="3"/>
  <c r="L69" i="3"/>
  <c r="K69" i="3"/>
  <c r="J69" i="3"/>
  <c r="I69" i="3"/>
  <c r="H69" i="3"/>
  <c r="G69" i="3"/>
  <c r="F69" i="3"/>
  <c r="E69" i="3"/>
  <c r="D69" i="3"/>
  <c r="C69" i="3"/>
  <c r="T68" i="3"/>
  <c r="S68" i="3"/>
  <c r="R68" i="3"/>
  <c r="Q68" i="3"/>
  <c r="P68" i="3"/>
  <c r="O68" i="3"/>
  <c r="N68" i="3"/>
  <c r="J68" i="3"/>
  <c r="I68" i="3"/>
  <c r="E68" i="3"/>
  <c r="D68" i="3"/>
  <c r="C68" i="3"/>
  <c r="R67" i="3"/>
  <c r="P67" i="3"/>
  <c r="O67" i="3"/>
  <c r="N67" i="3"/>
  <c r="M67" i="3"/>
  <c r="L67" i="3"/>
  <c r="K67" i="3"/>
  <c r="J67" i="3"/>
  <c r="I67" i="3"/>
  <c r="H67" i="3"/>
  <c r="G67" i="3"/>
  <c r="F67" i="3"/>
  <c r="E67" i="3"/>
  <c r="D67" i="3"/>
  <c r="C67" i="3"/>
  <c r="T66" i="3"/>
  <c r="S66" i="3"/>
  <c r="R66" i="3"/>
  <c r="Q66" i="3"/>
  <c r="P66" i="3"/>
  <c r="O66" i="3"/>
  <c r="N66" i="3"/>
  <c r="J66" i="3"/>
  <c r="I66" i="3"/>
  <c r="E66" i="3"/>
  <c r="D66" i="3"/>
  <c r="C66" i="3"/>
  <c r="R65" i="3"/>
  <c r="P65" i="3"/>
  <c r="O65" i="3"/>
  <c r="N65" i="3"/>
  <c r="M65" i="3"/>
  <c r="L65" i="3"/>
  <c r="K65" i="3"/>
  <c r="J65" i="3"/>
  <c r="I65" i="3"/>
  <c r="H65" i="3"/>
  <c r="G65" i="3"/>
  <c r="F65" i="3"/>
  <c r="E65" i="3"/>
  <c r="D65" i="3"/>
  <c r="C65" i="3"/>
  <c r="T64" i="3"/>
  <c r="S64" i="3"/>
  <c r="R64" i="3"/>
  <c r="Q64" i="3"/>
  <c r="P64" i="3"/>
  <c r="O64" i="3"/>
  <c r="N64" i="3"/>
  <c r="J64" i="3"/>
  <c r="I64" i="3"/>
  <c r="E64" i="3"/>
  <c r="D64" i="3"/>
  <c r="C64" i="3"/>
  <c r="R63" i="3"/>
  <c r="P63" i="3"/>
  <c r="O63" i="3"/>
  <c r="N63" i="3"/>
  <c r="M63" i="3"/>
  <c r="L63" i="3"/>
  <c r="K63" i="3"/>
  <c r="J63" i="3"/>
  <c r="I63" i="3"/>
  <c r="H63" i="3"/>
  <c r="G63" i="3"/>
  <c r="F63" i="3"/>
  <c r="E63" i="3"/>
  <c r="D63" i="3"/>
  <c r="C63" i="3"/>
  <c r="T62" i="3"/>
  <c r="S62" i="3"/>
  <c r="R62" i="3"/>
  <c r="Q62" i="3"/>
  <c r="P62" i="3"/>
  <c r="O62" i="3"/>
  <c r="N62" i="3"/>
  <c r="J62" i="3"/>
  <c r="I62" i="3"/>
  <c r="E62" i="3"/>
  <c r="D62" i="3"/>
  <c r="C62" i="3"/>
  <c r="R61" i="3"/>
  <c r="P61" i="3"/>
  <c r="O61" i="3"/>
  <c r="N61" i="3"/>
  <c r="M61" i="3"/>
  <c r="L61" i="3"/>
  <c r="K61" i="3"/>
  <c r="J61" i="3"/>
  <c r="I61" i="3"/>
  <c r="H61" i="3"/>
  <c r="G61" i="3"/>
  <c r="F61" i="3"/>
  <c r="E61" i="3"/>
  <c r="D61" i="3"/>
  <c r="C61" i="3"/>
  <c r="T60" i="3"/>
  <c r="S60" i="3"/>
  <c r="R60" i="3"/>
  <c r="Q60" i="3"/>
  <c r="P60" i="3"/>
  <c r="O60" i="3"/>
  <c r="N60" i="3"/>
  <c r="J60" i="3"/>
  <c r="I60" i="3"/>
  <c r="E60" i="3"/>
  <c r="D60" i="3"/>
  <c r="C60" i="3"/>
  <c r="R59" i="3"/>
  <c r="P59" i="3"/>
  <c r="O59" i="3"/>
  <c r="N59" i="3"/>
  <c r="M59" i="3"/>
  <c r="L59" i="3"/>
  <c r="K59" i="3"/>
  <c r="J59" i="3"/>
  <c r="I59" i="3"/>
  <c r="H59" i="3"/>
  <c r="G59" i="3"/>
  <c r="F59" i="3"/>
  <c r="E59" i="3"/>
  <c r="D59" i="3"/>
  <c r="C59" i="3"/>
  <c r="T58" i="3"/>
  <c r="S58" i="3"/>
  <c r="R58" i="3"/>
  <c r="Q58" i="3"/>
  <c r="P58" i="3"/>
  <c r="O58" i="3"/>
  <c r="N58" i="3"/>
  <c r="J58" i="3"/>
  <c r="I58" i="3"/>
  <c r="E58" i="3"/>
  <c r="D58" i="3"/>
  <c r="C58" i="3"/>
  <c r="R57" i="3"/>
  <c r="P57" i="3"/>
  <c r="O57" i="3"/>
  <c r="N57" i="3"/>
  <c r="M57" i="3"/>
  <c r="L57" i="3"/>
  <c r="K57" i="3"/>
  <c r="J57" i="3"/>
  <c r="I57" i="3"/>
  <c r="H57" i="3"/>
  <c r="G57" i="3"/>
  <c r="F57" i="3"/>
  <c r="E57" i="3"/>
  <c r="D57" i="3"/>
  <c r="C57" i="3"/>
  <c r="T56" i="3"/>
  <c r="S56" i="3"/>
  <c r="R56" i="3"/>
  <c r="Q56" i="3"/>
  <c r="P56" i="3"/>
  <c r="O56" i="3"/>
  <c r="N56" i="3"/>
  <c r="J56" i="3"/>
  <c r="I56" i="3"/>
  <c r="E56" i="3"/>
  <c r="D56" i="3"/>
  <c r="C56" i="3"/>
  <c r="R55" i="3"/>
  <c r="P55" i="3"/>
  <c r="O55" i="3"/>
  <c r="N55" i="3"/>
  <c r="M55" i="3"/>
  <c r="L55" i="3"/>
  <c r="K55" i="3"/>
  <c r="J55" i="3"/>
  <c r="I55" i="3"/>
  <c r="H55" i="3"/>
  <c r="G55" i="3"/>
  <c r="F55" i="3"/>
  <c r="E55" i="3"/>
  <c r="D55" i="3"/>
  <c r="C55" i="3"/>
  <c r="T54" i="3"/>
  <c r="S54" i="3"/>
  <c r="R54" i="3"/>
  <c r="Q54" i="3"/>
  <c r="P54" i="3"/>
  <c r="O54" i="3"/>
  <c r="N54" i="3"/>
  <c r="J54" i="3"/>
  <c r="I54" i="3"/>
  <c r="P53" i="3"/>
  <c r="M53" i="3"/>
  <c r="L53" i="3"/>
  <c r="K53" i="3"/>
  <c r="J53" i="3"/>
  <c r="I53" i="3"/>
  <c r="H53" i="3"/>
  <c r="G53" i="3"/>
  <c r="F53" i="3"/>
  <c r="E53" i="3"/>
  <c r="D53" i="3"/>
  <c r="C53" i="3"/>
  <c r="P49" i="3"/>
  <c r="O49" i="3"/>
  <c r="N49" i="3"/>
  <c r="K49" i="3"/>
  <c r="J49" i="3"/>
  <c r="I49" i="3"/>
  <c r="G49" i="3"/>
  <c r="E49" i="3"/>
  <c r="D49" i="3"/>
  <c r="C49" i="3"/>
  <c r="T48" i="3"/>
  <c r="S48" i="3"/>
  <c r="R48" i="3"/>
  <c r="Q48" i="3"/>
  <c r="P48" i="3"/>
  <c r="O48" i="3"/>
  <c r="N48" i="3"/>
  <c r="J48" i="3"/>
  <c r="I48" i="3"/>
  <c r="E48" i="3"/>
  <c r="D48" i="3"/>
  <c r="C48" i="3"/>
  <c r="R47" i="3"/>
  <c r="P47" i="3"/>
  <c r="O47" i="3"/>
  <c r="N47" i="3"/>
  <c r="K47" i="3"/>
  <c r="J47" i="3"/>
  <c r="I47" i="3"/>
  <c r="G47" i="3"/>
  <c r="E47" i="3"/>
  <c r="D47" i="3"/>
  <c r="C47" i="3"/>
  <c r="T46" i="3"/>
  <c r="S46" i="3"/>
  <c r="R46" i="3"/>
  <c r="Q46" i="3"/>
  <c r="P46" i="3"/>
  <c r="O46" i="3"/>
  <c r="N46" i="3"/>
  <c r="J46" i="3"/>
  <c r="I46" i="3"/>
  <c r="E46" i="3"/>
  <c r="D46" i="3"/>
  <c r="C46" i="3"/>
  <c r="R45" i="3"/>
  <c r="P45" i="3"/>
  <c r="O45" i="3"/>
  <c r="N45" i="3"/>
  <c r="K45" i="3"/>
  <c r="J45" i="3"/>
  <c r="I45" i="3"/>
  <c r="G45" i="3"/>
  <c r="E45" i="3"/>
  <c r="D45" i="3"/>
  <c r="C45" i="3"/>
  <c r="T44" i="3"/>
  <c r="S44" i="3"/>
  <c r="R44" i="3"/>
  <c r="Q44" i="3"/>
  <c r="P44" i="3"/>
  <c r="O44" i="3"/>
  <c r="N44" i="3"/>
  <c r="J44" i="3"/>
  <c r="I44" i="3"/>
  <c r="E44" i="3"/>
  <c r="D44" i="3"/>
  <c r="C44" i="3"/>
  <c r="R43" i="3"/>
  <c r="P43" i="3"/>
  <c r="O43" i="3"/>
  <c r="N43" i="3"/>
  <c r="K43" i="3"/>
  <c r="J43" i="3"/>
  <c r="I43" i="3"/>
  <c r="G43" i="3"/>
  <c r="E43" i="3"/>
  <c r="D43" i="3"/>
  <c r="C43" i="3"/>
  <c r="T42" i="3"/>
  <c r="S42" i="3"/>
  <c r="R42" i="3"/>
  <c r="Q42" i="3"/>
  <c r="P42" i="3"/>
  <c r="O42" i="3"/>
  <c r="N42" i="3"/>
  <c r="J42" i="3"/>
  <c r="I42" i="3"/>
  <c r="E42" i="3"/>
  <c r="D42" i="3"/>
  <c r="C42" i="3"/>
  <c r="R41" i="3"/>
  <c r="P41" i="3"/>
  <c r="O41" i="3"/>
  <c r="N41" i="3"/>
  <c r="K41" i="3"/>
  <c r="J41" i="3"/>
  <c r="I41" i="3"/>
  <c r="G41" i="3"/>
  <c r="E41" i="3"/>
  <c r="D41" i="3"/>
  <c r="C41" i="3"/>
  <c r="T40" i="3"/>
  <c r="S40" i="3"/>
  <c r="R40" i="3"/>
  <c r="Q40" i="3"/>
  <c r="P40" i="3"/>
  <c r="O40" i="3"/>
  <c r="N40" i="3"/>
  <c r="J40" i="3"/>
  <c r="I40" i="3"/>
  <c r="E40" i="3"/>
  <c r="D40" i="3"/>
  <c r="C40" i="3"/>
  <c r="R39" i="3"/>
  <c r="P39" i="3"/>
  <c r="O39" i="3"/>
  <c r="N39" i="3"/>
  <c r="K39" i="3"/>
  <c r="J39" i="3"/>
  <c r="I39" i="3"/>
  <c r="G39" i="3"/>
  <c r="E39" i="3"/>
  <c r="D39" i="3"/>
  <c r="C39" i="3"/>
  <c r="AB38" i="3"/>
  <c r="AA38" i="3"/>
  <c r="Z38" i="3"/>
  <c r="Y38" i="3"/>
  <c r="T38" i="3"/>
  <c r="S38" i="3"/>
  <c r="R38" i="3"/>
  <c r="Q38" i="3"/>
  <c r="P38" i="3"/>
  <c r="O38" i="3"/>
  <c r="N38" i="3"/>
  <c r="J38" i="3"/>
  <c r="I38" i="3"/>
  <c r="E38" i="3"/>
  <c r="D38" i="3"/>
  <c r="C38" i="3"/>
  <c r="AB37" i="3"/>
  <c r="AA37" i="3"/>
  <c r="Z37" i="3"/>
  <c r="Y37" i="3"/>
  <c r="R37" i="3"/>
  <c r="P37" i="3"/>
  <c r="O37" i="3"/>
  <c r="N37" i="3"/>
  <c r="K37" i="3"/>
  <c r="J37" i="3"/>
  <c r="I37" i="3"/>
  <c r="G37" i="3"/>
  <c r="E37" i="3"/>
  <c r="D37" i="3"/>
  <c r="C37" i="3"/>
  <c r="AB36" i="3"/>
  <c r="AA36" i="3"/>
  <c r="Z36" i="3"/>
  <c r="Y36" i="3"/>
  <c r="T36" i="3"/>
  <c r="S36" i="3"/>
  <c r="R36" i="3"/>
  <c r="Q36" i="3"/>
  <c r="P36" i="3"/>
  <c r="O36" i="3"/>
  <c r="N36" i="3"/>
  <c r="J36" i="3"/>
  <c r="I36" i="3"/>
  <c r="E36" i="3"/>
  <c r="D36" i="3"/>
  <c r="C36" i="3"/>
  <c r="AB35" i="3"/>
  <c r="AA35" i="3"/>
  <c r="Z35" i="3"/>
  <c r="Y35" i="3"/>
  <c r="V35" i="3"/>
  <c r="R35" i="3"/>
  <c r="P35" i="3"/>
  <c r="O35" i="3"/>
  <c r="N35" i="3"/>
  <c r="K35" i="3"/>
  <c r="J35" i="3"/>
  <c r="I35" i="3"/>
  <c r="G35" i="3"/>
  <c r="E35" i="3"/>
  <c r="D35" i="3"/>
  <c r="C35" i="3"/>
  <c r="AB34" i="3"/>
  <c r="AA34" i="3"/>
  <c r="Z34" i="3"/>
  <c r="Y34" i="3"/>
  <c r="V34" i="3"/>
  <c r="T34" i="3"/>
  <c r="S34" i="3"/>
  <c r="R34" i="3"/>
  <c r="Q34" i="3"/>
  <c r="P34" i="3"/>
  <c r="O34" i="3"/>
  <c r="N34" i="3"/>
  <c r="J34" i="3"/>
  <c r="I34" i="3"/>
  <c r="E34" i="3"/>
  <c r="D34" i="3"/>
  <c r="C34" i="3"/>
  <c r="AB33" i="3"/>
  <c r="AA33" i="3"/>
  <c r="Z33" i="3"/>
  <c r="Y33" i="3"/>
  <c r="V33" i="3"/>
  <c r="R33" i="3"/>
  <c r="P33" i="3"/>
  <c r="O33" i="3"/>
  <c r="N33" i="3"/>
  <c r="K33" i="3"/>
  <c r="J33" i="3"/>
  <c r="I33" i="3"/>
  <c r="G33" i="3"/>
  <c r="E33" i="3"/>
  <c r="D33" i="3"/>
  <c r="C33" i="3"/>
  <c r="AB32" i="3"/>
  <c r="AA32" i="3"/>
  <c r="Z32" i="3"/>
  <c r="Y32" i="3"/>
  <c r="V32" i="3"/>
  <c r="T32" i="3"/>
  <c r="S32" i="3"/>
  <c r="R32" i="3"/>
  <c r="Q32" i="3"/>
  <c r="P32" i="3"/>
  <c r="O32" i="3"/>
  <c r="N32" i="3"/>
  <c r="J32" i="3"/>
  <c r="I32" i="3"/>
  <c r="E32" i="3"/>
  <c r="D32" i="3"/>
  <c r="C32" i="3"/>
  <c r="AB31" i="3"/>
  <c r="AA31" i="3"/>
  <c r="Z31" i="3"/>
  <c r="Y31" i="3"/>
  <c r="V31" i="3"/>
  <c r="R31" i="3"/>
  <c r="P31" i="3"/>
  <c r="O31" i="3"/>
  <c r="N31" i="3"/>
  <c r="K31" i="3"/>
  <c r="J31" i="3"/>
  <c r="I31" i="3"/>
  <c r="G31" i="3"/>
  <c r="E31" i="3"/>
  <c r="D31" i="3"/>
  <c r="C31" i="3"/>
  <c r="AB30" i="3"/>
  <c r="AA30" i="3"/>
  <c r="Z30" i="3"/>
  <c r="Y30" i="3"/>
  <c r="V30" i="3"/>
  <c r="T30" i="3"/>
  <c r="S30" i="3"/>
  <c r="R30" i="3"/>
  <c r="Q30" i="3"/>
  <c r="P30" i="3"/>
  <c r="O30" i="3"/>
  <c r="N30" i="3"/>
  <c r="J30" i="3"/>
  <c r="I30" i="3"/>
  <c r="E30" i="3"/>
  <c r="D30" i="3"/>
  <c r="C30" i="3"/>
  <c r="AB29" i="3"/>
  <c r="AA29" i="3"/>
  <c r="Z29" i="3"/>
  <c r="Y29" i="3"/>
  <c r="P29" i="3"/>
  <c r="M29" i="3"/>
  <c r="L29" i="3"/>
  <c r="K29" i="3"/>
  <c r="J29" i="3"/>
  <c r="I29" i="3"/>
  <c r="H29" i="3"/>
  <c r="G29" i="3"/>
  <c r="F29" i="3"/>
  <c r="E29" i="3"/>
  <c r="D29" i="3"/>
  <c r="C29" i="3"/>
  <c r="AB25" i="3"/>
  <c r="AA25" i="3"/>
  <c r="Y25" i="3"/>
  <c r="N25" i="3"/>
  <c r="E25" i="3"/>
  <c r="AB24" i="3"/>
  <c r="AA24" i="3"/>
  <c r="Y24" i="3"/>
  <c r="X24" i="3"/>
  <c r="W24" i="3"/>
  <c r="T24" i="3"/>
  <c r="S24" i="3"/>
  <c r="R24" i="3"/>
  <c r="Q24" i="3"/>
  <c r="P24" i="3"/>
  <c r="O24" i="3"/>
  <c r="G24" i="3"/>
  <c r="F24" i="3"/>
  <c r="E24" i="3"/>
  <c r="C24" i="3"/>
  <c r="AB23" i="3"/>
  <c r="AA23" i="3"/>
  <c r="Y23" i="3"/>
  <c r="W23" i="3"/>
  <c r="N23" i="3"/>
  <c r="E23" i="3"/>
  <c r="AB22" i="3"/>
  <c r="AA22" i="3"/>
  <c r="Y22" i="3"/>
  <c r="W22" i="3"/>
  <c r="T22" i="3"/>
  <c r="S22" i="3"/>
  <c r="R22" i="3"/>
  <c r="Q22" i="3"/>
  <c r="P22" i="3"/>
  <c r="O22" i="3"/>
  <c r="G22" i="3"/>
  <c r="F22" i="3"/>
  <c r="E22" i="3"/>
  <c r="C22" i="3"/>
  <c r="AB21" i="3"/>
  <c r="AA21" i="3"/>
  <c r="Y21" i="3"/>
  <c r="W21" i="3"/>
  <c r="N21" i="3"/>
  <c r="E21" i="3"/>
  <c r="AB20" i="3"/>
  <c r="AA20" i="3"/>
  <c r="Y20" i="3"/>
  <c r="X20" i="3"/>
  <c r="W20" i="3"/>
  <c r="T20" i="3"/>
  <c r="S20" i="3"/>
  <c r="R20" i="3"/>
  <c r="Q20" i="3"/>
  <c r="P20" i="3"/>
  <c r="O20" i="3"/>
  <c r="G20" i="3"/>
  <c r="F20" i="3"/>
  <c r="E20" i="3"/>
  <c r="C20" i="3"/>
  <c r="AB19" i="3"/>
  <c r="AA19" i="3"/>
  <c r="Y19" i="3"/>
  <c r="X19" i="3"/>
  <c r="W19" i="3"/>
  <c r="N19" i="3"/>
  <c r="E19" i="3"/>
  <c r="AB18" i="3"/>
  <c r="AA18" i="3"/>
  <c r="Y18" i="3"/>
  <c r="T18" i="3"/>
  <c r="S18" i="3"/>
  <c r="R18" i="3"/>
  <c r="Q18" i="3"/>
  <c r="P18" i="3"/>
  <c r="O18" i="3"/>
  <c r="G18" i="3"/>
  <c r="F18" i="3"/>
  <c r="E18" i="3"/>
  <c r="C18" i="3"/>
  <c r="AB17" i="3"/>
  <c r="AA17" i="3"/>
  <c r="Y17" i="3"/>
  <c r="N17" i="3"/>
  <c r="E17" i="3"/>
  <c r="AB16" i="3"/>
  <c r="AA16" i="3"/>
  <c r="Y16" i="3"/>
  <c r="X16" i="3"/>
  <c r="W16" i="3"/>
  <c r="T16" i="3"/>
  <c r="S16" i="3"/>
  <c r="R16" i="3"/>
  <c r="Q16" i="3"/>
  <c r="P16" i="3"/>
  <c r="O16" i="3"/>
  <c r="G16" i="3"/>
  <c r="F16" i="3"/>
  <c r="E16" i="3"/>
  <c r="C16" i="3"/>
  <c r="AB15" i="3"/>
  <c r="AA15" i="3"/>
  <c r="Y15" i="3"/>
  <c r="X15" i="3"/>
  <c r="W15" i="3"/>
  <c r="N15" i="3"/>
  <c r="E15" i="3"/>
  <c r="AB14" i="3"/>
  <c r="AA14" i="3"/>
  <c r="Y14" i="3"/>
  <c r="T14" i="3"/>
  <c r="S14" i="3"/>
  <c r="R14" i="3"/>
  <c r="Q14" i="3"/>
  <c r="P14" i="3"/>
  <c r="O14" i="3"/>
  <c r="G14" i="3"/>
  <c r="F14" i="3"/>
  <c r="E14" i="3"/>
  <c r="C14" i="3"/>
  <c r="AB13" i="3"/>
  <c r="AA13" i="3"/>
  <c r="Y13" i="3"/>
  <c r="N13" i="3"/>
  <c r="E13" i="3"/>
  <c r="AB12" i="3"/>
  <c r="AA12" i="3"/>
  <c r="Y12" i="3"/>
  <c r="T12" i="3"/>
  <c r="S12" i="3"/>
  <c r="R12" i="3"/>
  <c r="Q12" i="3"/>
  <c r="P12" i="3"/>
  <c r="O12" i="3"/>
  <c r="G12" i="3"/>
  <c r="F12" i="3"/>
  <c r="E12" i="3"/>
  <c r="C12" i="3"/>
  <c r="AB11" i="3"/>
  <c r="AA11" i="3"/>
  <c r="Y11" i="3"/>
  <c r="W11" i="3"/>
  <c r="N11" i="3"/>
  <c r="E11" i="3"/>
  <c r="AB10" i="3"/>
  <c r="AA10" i="3"/>
  <c r="Y10" i="3"/>
  <c r="W10" i="3"/>
  <c r="T10" i="3"/>
  <c r="S10" i="3"/>
  <c r="R10" i="3"/>
  <c r="Q10" i="3"/>
  <c r="P10" i="3"/>
  <c r="O10" i="3"/>
  <c r="G10" i="3"/>
  <c r="F10" i="3"/>
  <c r="E10" i="3"/>
  <c r="C10" i="3"/>
  <c r="AB9" i="3"/>
  <c r="AA9" i="3"/>
  <c r="Y9" i="3"/>
  <c r="W9" i="3"/>
  <c r="N9" i="3"/>
  <c r="E9" i="3"/>
  <c r="AB8" i="3"/>
  <c r="AA8" i="3"/>
  <c r="Y8" i="3"/>
  <c r="W8" i="3"/>
  <c r="T8" i="3"/>
  <c r="S8" i="3"/>
  <c r="R8" i="3"/>
  <c r="Q8" i="3"/>
  <c r="P8" i="3"/>
  <c r="O8" i="3"/>
  <c r="G8" i="3"/>
  <c r="F8" i="3"/>
  <c r="E8" i="3"/>
  <c r="C8" i="3"/>
  <c r="AB7" i="3"/>
  <c r="AA7" i="3"/>
  <c r="Y7" i="3"/>
  <c r="W7" i="3"/>
  <c r="N7" i="3"/>
  <c r="AB6" i="3"/>
  <c r="AA6" i="3"/>
  <c r="Y6" i="3"/>
  <c r="W6" i="3"/>
  <c r="T6" i="3"/>
  <c r="S6" i="3"/>
  <c r="R6" i="3"/>
  <c r="Q6" i="3"/>
  <c r="P6" i="3"/>
  <c r="O6" i="3"/>
  <c r="C6" i="3"/>
  <c r="AB5" i="3"/>
  <c r="AA5" i="3"/>
  <c r="Y5" i="3"/>
  <c r="W5" i="3"/>
  <c r="C5" i="3"/>
  <c r="AB4" i="3"/>
  <c r="AA4" i="3"/>
  <c r="Y4" i="3"/>
  <c r="W4" i="3"/>
  <c r="C4" i="3"/>
  <c r="AB3" i="3"/>
  <c r="AA3" i="3"/>
  <c r="Y3" i="3"/>
  <c r="W3" i="3"/>
  <c r="G3" i="3"/>
  <c r="F3" i="3"/>
  <c r="E3" i="3"/>
  <c r="D3" i="3"/>
  <c r="C3" i="3"/>
  <c r="AB2" i="3"/>
  <c r="AA2" i="3"/>
  <c r="X2" i="3"/>
  <c r="W2" i="3"/>
  <c r="C1" i="3"/>
  <c r="G48" i="6"/>
  <c r="G47" i="6"/>
  <c r="F47" i="6"/>
  <c r="G46" i="6"/>
  <c r="F46" i="6"/>
  <c r="G45" i="6"/>
  <c r="F45" i="6"/>
  <c r="G44" i="6"/>
  <c r="F44" i="6"/>
  <c r="G43" i="6"/>
  <c r="F43" i="6"/>
  <c r="G42" i="6"/>
  <c r="F42" i="6"/>
  <c r="G41" i="6"/>
  <c r="F41" i="6"/>
  <c r="G40" i="6"/>
  <c r="F40" i="6"/>
  <c r="G39" i="6"/>
  <c r="F39" i="6"/>
  <c r="G38" i="6"/>
  <c r="F38" i="6"/>
  <c r="G36" i="6"/>
  <c r="F36" i="6"/>
  <c r="C36" i="6"/>
  <c r="G35" i="6"/>
  <c r="F35" i="6"/>
  <c r="G30" i="6"/>
  <c r="F30" i="6"/>
  <c r="C30" i="6"/>
  <c r="B30" i="6"/>
  <c r="C28" i="6"/>
  <c r="C26" i="6"/>
  <c r="C24" i="6"/>
  <c r="C22" i="6"/>
  <c r="B22" i="6"/>
  <c r="G21" i="6"/>
  <c r="C21" i="6"/>
  <c r="C20" i="6"/>
  <c r="G19" i="6"/>
  <c r="G17" i="6"/>
  <c r="C17" i="6"/>
  <c r="C15" i="6"/>
  <c r="B15" i="6"/>
  <c r="C14" i="6"/>
  <c r="G13" i="6"/>
  <c r="F13" i="6"/>
  <c r="C13" i="6"/>
  <c r="C11" i="6"/>
  <c r="G9" i="6"/>
  <c r="F9" i="6"/>
  <c r="C9" i="6"/>
  <c r="B9" i="6"/>
  <c r="G8" i="6"/>
  <c r="C8" i="6"/>
  <c r="G6" i="6"/>
  <c r="F6" i="6"/>
  <c r="C6" i="6"/>
  <c r="G4" i="6"/>
  <c r="F4" i="6"/>
  <c r="C4" i="6"/>
  <c r="B4" i="6"/>
  <c r="B2" i="6"/>
  <c r="B1" i="6"/>
  <c r="R48" i="4"/>
  <c r="R47" i="4"/>
  <c r="R46" i="4"/>
  <c r="Y43" i="4"/>
  <c r="O43" i="4"/>
  <c r="Y42" i="4"/>
  <c r="X42" i="4"/>
  <c r="U42" i="4"/>
  <c r="Y41" i="4"/>
  <c r="X41" i="4"/>
  <c r="W41" i="4"/>
  <c r="V41" i="4"/>
  <c r="Y40" i="4"/>
  <c r="X40" i="4"/>
  <c r="W40" i="4"/>
  <c r="V40" i="4"/>
  <c r="U40" i="4"/>
  <c r="Y39" i="4"/>
  <c r="X39" i="4"/>
  <c r="W39" i="4"/>
  <c r="V39" i="4"/>
  <c r="U39" i="4"/>
  <c r="T39" i="4"/>
  <c r="S39" i="4"/>
  <c r="Y38" i="4"/>
  <c r="X38" i="4"/>
  <c r="W38" i="4"/>
  <c r="V38" i="4"/>
  <c r="U38" i="4"/>
  <c r="T38" i="4"/>
  <c r="Y36" i="4"/>
  <c r="X36" i="4"/>
  <c r="U36" i="4"/>
  <c r="Y35" i="4"/>
  <c r="X35" i="4"/>
  <c r="U35" i="4"/>
  <c r="AF34" i="4"/>
  <c r="AE34" i="4"/>
  <c r="AD34" i="4"/>
  <c r="Y34" i="4"/>
  <c r="X34" i="4"/>
  <c r="W34" i="4"/>
  <c r="V34" i="4"/>
  <c r="U34" i="4"/>
  <c r="T34" i="4"/>
  <c r="S34" i="4"/>
  <c r="AF33" i="4"/>
  <c r="AE33" i="4"/>
  <c r="AD33" i="4"/>
  <c r="Y33" i="4"/>
  <c r="Y32" i="4"/>
  <c r="X32" i="4"/>
  <c r="W32" i="4"/>
  <c r="V32" i="4"/>
  <c r="U32" i="4"/>
  <c r="T32" i="4"/>
  <c r="S32" i="4"/>
  <c r="U31" i="4"/>
  <c r="T31" i="4"/>
  <c r="S31" i="4"/>
  <c r="U30" i="4"/>
  <c r="T30" i="4"/>
  <c r="S30" i="4"/>
  <c r="Y29" i="4"/>
  <c r="X29" i="4"/>
  <c r="W29" i="4"/>
  <c r="V29" i="4"/>
  <c r="U29" i="4"/>
  <c r="T29" i="4"/>
  <c r="S29" i="4"/>
  <c r="Y28" i="4"/>
  <c r="X28" i="4"/>
  <c r="W28" i="4"/>
  <c r="V28" i="4"/>
  <c r="U28" i="4"/>
  <c r="T28" i="4"/>
  <c r="S28" i="4"/>
  <c r="Y26" i="4"/>
  <c r="X26" i="4"/>
  <c r="W26" i="4"/>
  <c r="V26" i="4"/>
  <c r="U26" i="4"/>
  <c r="T26" i="4"/>
  <c r="S26" i="4"/>
  <c r="U25" i="4"/>
  <c r="T25" i="4"/>
  <c r="S25" i="4"/>
  <c r="AC19" i="4"/>
  <c r="G19" i="4"/>
  <c r="H18" i="4"/>
  <c r="H17" i="4"/>
  <c r="G16" i="4"/>
  <c r="G15" i="4"/>
  <c r="AC14" i="4"/>
  <c r="Y14" i="4"/>
  <c r="X14" i="4"/>
  <c r="W14" i="4"/>
  <c r="V14" i="4"/>
  <c r="U14" i="4"/>
  <c r="T14" i="4"/>
  <c r="S14" i="4"/>
  <c r="R14" i="4"/>
  <c r="Q14" i="4"/>
  <c r="P14" i="4"/>
  <c r="O14" i="4"/>
  <c r="N14" i="4"/>
  <c r="M14" i="4"/>
  <c r="L14" i="4"/>
  <c r="K14" i="4"/>
  <c r="J14" i="4"/>
  <c r="G14" i="4"/>
  <c r="AC13" i="4"/>
  <c r="Y13" i="4"/>
  <c r="X13" i="4"/>
  <c r="W13" i="4"/>
  <c r="V13" i="4"/>
  <c r="U13" i="4"/>
  <c r="T13" i="4"/>
  <c r="S13" i="4"/>
  <c r="R13" i="4"/>
  <c r="Q13" i="4"/>
  <c r="P13" i="4"/>
  <c r="O13" i="4"/>
  <c r="N13" i="4"/>
  <c r="M13" i="4"/>
  <c r="L13" i="4"/>
  <c r="K13" i="4"/>
  <c r="J13" i="4"/>
  <c r="G13" i="4"/>
  <c r="C13" i="4"/>
  <c r="AC12" i="4"/>
  <c r="Y12" i="4"/>
  <c r="X12" i="4"/>
  <c r="W12" i="4"/>
  <c r="V12" i="4"/>
  <c r="U12" i="4"/>
  <c r="T12" i="4"/>
  <c r="S12" i="4"/>
  <c r="R12" i="4"/>
  <c r="Q12" i="4"/>
  <c r="P12" i="4"/>
  <c r="O12" i="4"/>
  <c r="N12" i="4"/>
  <c r="M12" i="4"/>
  <c r="L12" i="4"/>
  <c r="K12" i="4"/>
  <c r="J12" i="4"/>
  <c r="G12" i="4"/>
  <c r="C12" i="4"/>
  <c r="Y11" i="4"/>
  <c r="X11" i="4"/>
  <c r="W11" i="4"/>
  <c r="V11" i="4"/>
  <c r="U11" i="4"/>
  <c r="T11" i="4"/>
  <c r="S11" i="4"/>
  <c r="R11" i="4"/>
  <c r="Q11" i="4"/>
  <c r="P11" i="4"/>
  <c r="O11" i="4"/>
  <c r="N11" i="4"/>
  <c r="M11" i="4"/>
  <c r="L11" i="4"/>
  <c r="K11" i="4"/>
  <c r="J11" i="4"/>
  <c r="AC10" i="4"/>
  <c r="Y10" i="4"/>
  <c r="X10" i="4"/>
  <c r="W10" i="4"/>
  <c r="V10" i="4"/>
  <c r="U10" i="4"/>
  <c r="T10" i="4"/>
  <c r="S10" i="4"/>
  <c r="R10" i="4"/>
  <c r="Q10" i="4"/>
  <c r="P10" i="4"/>
  <c r="O10" i="4"/>
  <c r="N10" i="4"/>
  <c r="M10" i="4"/>
  <c r="L10" i="4"/>
  <c r="K10" i="4"/>
  <c r="J10" i="4"/>
  <c r="G10" i="4"/>
  <c r="C10" i="4"/>
  <c r="AC9" i="4"/>
  <c r="Y9" i="4"/>
  <c r="X9" i="4"/>
  <c r="W9" i="4"/>
  <c r="V9" i="4"/>
  <c r="U9" i="4"/>
  <c r="T9" i="4"/>
  <c r="S9" i="4"/>
  <c r="R9" i="4"/>
  <c r="Q9" i="4"/>
  <c r="P9" i="4"/>
  <c r="O9" i="4"/>
  <c r="N9" i="4"/>
  <c r="M9" i="4"/>
  <c r="L9" i="4"/>
  <c r="K9" i="4"/>
  <c r="J9" i="4"/>
  <c r="G9" i="4"/>
  <c r="C9" i="4"/>
  <c r="AC8" i="4"/>
  <c r="Y8" i="4"/>
  <c r="X8" i="4"/>
  <c r="W8" i="4"/>
  <c r="V8" i="4"/>
  <c r="U8" i="4"/>
  <c r="T8" i="4"/>
  <c r="S8" i="4"/>
  <c r="R8" i="4"/>
  <c r="Q8" i="4"/>
  <c r="P8" i="4"/>
  <c r="O8" i="4"/>
  <c r="N8" i="4"/>
  <c r="M8" i="4"/>
  <c r="L8" i="4"/>
  <c r="K8" i="4"/>
  <c r="J8" i="4"/>
  <c r="G8" i="4"/>
  <c r="AC7" i="4"/>
  <c r="Y7" i="4"/>
  <c r="X7" i="4"/>
  <c r="W7" i="4"/>
  <c r="V7" i="4"/>
  <c r="U7" i="4"/>
  <c r="T7" i="4"/>
  <c r="S7" i="4"/>
  <c r="R7" i="4"/>
  <c r="Q7" i="4"/>
  <c r="P7" i="4"/>
  <c r="O7" i="4"/>
  <c r="N7" i="4"/>
  <c r="M7" i="4"/>
  <c r="L7" i="4"/>
  <c r="K7" i="4"/>
  <c r="J7" i="4"/>
  <c r="G7" i="4"/>
  <c r="AC6" i="4"/>
  <c r="Y6" i="4"/>
  <c r="X6" i="4"/>
  <c r="W6" i="4"/>
  <c r="V6" i="4"/>
  <c r="U6" i="4"/>
  <c r="T6" i="4"/>
  <c r="S6" i="4"/>
  <c r="R6" i="4"/>
  <c r="Q6" i="4"/>
  <c r="P6" i="4"/>
  <c r="O6" i="4"/>
  <c r="N6" i="4"/>
  <c r="M6" i="4"/>
  <c r="L6" i="4"/>
  <c r="K6" i="4"/>
  <c r="J6" i="4"/>
  <c r="G6" i="4"/>
  <c r="AC5" i="4"/>
  <c r="Y5" i="4"/>
  <c r="X5" i="4"/>
  <c r="W5" i="4"/>
  <c r="V5" i="4"/>
  <c r="U5" i="4"/>
  <c r="T5" i="4"/>
  <c r="S5" i="4"/>
  <c r="R5" i="4"/>
  <c r="Q5" i="4"/>
  <c r="P5" i="4"/>
  <c r="O5" i="4"/>
  <c r="N5" i="4"/>
  <c r="M5" i="4"/>
  <c r="L5" i="4"/>
  <c r="K5" i="4"/>
  <c r="J5" i="4"/>
  <c r="G5" i="4"/>
  <c r="AC4" i="4"/>
  <c r="Y4" i="4"/>
  <c r="V4" i="4"/>
  <c r="U4" i="4"/>
  <c r="T4" i="4"/>
  <c r="S4" i="4"/>
  <c r="L4" i="4"/>
  <c r="K4" i="4"/>
  <c r="J4" i="4"/>
  <c r="G4" i="4"/>
  <c r="AC3" i="4"/>
  <c r="G3" i="4"/>
</calcChain>
</file>

<file path=xl/comments1.xml><?xml version="1.0" encoding="utf-8"?>
<comments xmlns="http://schemas.openxmlformats.org/spreadsheetml/2006/main">
  <authors>
    <author>Jan van der Lei</author>
  </authors>
  <commentList>
    <comment ref="Z1" authorId="0" shapeId="0">
      <text>
        <r>
          <rPr>
            <b/>
            <sz val="9"/>
            <color indexed="81"/>
            <rFont val="Tahoma"/>
            <family val="2"/>
          </rPr>
          <t>Jan van der Lei:</t>
        </r>
        <r>
          <rPr>
            <sz val="9"/>
            <color indexed="81"/>
            <rFont val="Tahoma"/>
            <family val="2"/>
          </rPr>
          <t xml:space="preserve">
Bron: DNB gemiddelde rente tien jaars staatslening.</t>
        </r>
      </text>
    </comment>
    <comment ref="AA1" authorId="0" shapeId="0">
      <text>
        <r>
          <rPr>
            <sz val="9"/>
            <color indexed="81"/>
            <rFont val="Tahoma"/>
            <family val="2"/>
          </rPr>
          <t>spread in overeenkomst BNG is 0,35% -  0,4% t.o.v. Euribor.</t>
        </r>
      </text>
    </comment>
  </commentList>
</comments>
</file>

<file path=xl/comments2.xml><?xml version="1.0" encoding="utf-8"?>
<comments xmlns="http://schemas.openxmlformats.org/spreadsheetml/2006/main">
  <authors>
    <author>Jan van der Lei</author>
  </authors>
  <commentList>
    <comment ref="N13" authorId="0" shapeId="0">
      <text>
        <r>
          <rPr>
            <b/>
            <sz val="9"/>
            <color indexed="81"/>
            <rFont val="Tahoma"/>
            <family val="2"/>
          </rPr>
          <t>Jan van der Lei:</t>
        </r>
        <r>
          <rPr>
            <sz val="9"/>
            <color indexed="81"/>
            <rFont val="Tahoma"/>
            <family val="2"/>
          </rPr>
          <t xml:space="preserve">
Invulling inkomstenverhoging 1 / 5 deel belastingverhoging per jaar i.v.m. noemereffect schuldquote.</t>
        </r>
      </text>
    </comment>
    <comment ref="K31" authorId="0" shapeId="0">
      <text>
        <r>
          <rPr>
            <b/>
            <sz val="9"/>
            <color indexed="81"/>
            <rFont val="Tahoma"/>
            <family val="2"/>
          </rPr>
          <t>Jan van der Lei:</t>
        </r>
        <r>
          <rPr>
            <sz val="9"/>
            <color indexed="81"/>
            <rFont val="Tahoma"/>
            <family val="2"/>
          </rPr>
          <t xml:space="preserve">
Boven 0,5 ombuigingspotentieel correctie voor opplussen inkomsten met benutting belastingcapaciteit. </t>
        </r>
      </text>
    </comment>
    <comment ref="H41" authorId="0" shapeId="0">
      <text>
        <r>
          <rPr>
            <b/>
            <sz val="9"/>
            <color indexed="81"/>
            <rFont val="Tahoma"/>
            <family val="2"/>
          </rPr>
          <t xml:space="preserve">correctie voor berekening juiste groeipercentage uitgaven </t>
        </r>
      </text>
    </comment>
    <comment ref="H60" authorId="0" shapeId="0">
      <text>
        <r>
          <rPr>
            <b/>
            <sz val="9"/>
            <color indexed="81"/>
            <rFont val="Tahoma"/>
            <family val="2"/>
          </rPr>
          <t>correctie voor berekening juiste groeipercentage inkomsten</t>
        </r>
      </text>
    </comment>
    <comment ref="H85" authorId="0" shapeId="0">
      <text>
        <r>
          <rPr>
            <b/>
            <sz val="9"/>
            <color indexed="81"/>
            <rFont val="Tahoma"/>
            <family val="2"/>
          </rPr>
          <t>Jan van der Lei:</t>
        </r>
        <r>
          <rPr>
            <sz val="9"/>
            <color indexed="81"/>
            <rFont val="Tahoma"/>
            <family val="2"/>
          </rPr>
          <t xml:space="preserve">
half jaar rente over financieringsresulltaat exploitatie exlcusief rente over rente</t>
        </r>
      </text>
    </comment>
    <comment ref="H86" authorId="0" shapeId="0">
      <text>
        <r>
          <rPr>
            <b/>
            <sz val="9"/>
            <color indexed="81"/>
            <rFont val="Tahoma"/>
            <family val="2"/>
          </rPr>
          <t>Jan van der Lei:</t>
        </r>
        <r>
          <rPr>
            <sz val="9"/>
            <color indexed="81"/>
            <rFont val="Tahoma"/>
            <family val="2"/>
          </rPr>
          <t xml:space="preserve">
Dit is het renteresultaat over financieringsstroom exploitatie</t>
        </r>
      </text>
    </comment>
    <comment ref="H87" authorId="0" shapeId="0">
      <text>
        <r>
          <rPr>
            <b/>
            <sz val="9"/>
            <color indexed="81"/>
            <rFont val="Tahoma"/>
            <family val="2"/>
          </rPr>
          <t>Jan van der Lei:</t>
        </r>
        <r>
          <rPr>
            <sz val="9"/>
            <color indexed="81"/>
            <rFont val="Tahoma"/>
            <family val="2"/>
          </rPr>
          <t xml:space="preserve">
benodigde correctie voor rente over rente. (verwaarloosbare afwijking).
</t>
        </r>
      </text>
    </comment>
    <comment ref="H88" authorId="0" shapeId="0">
      <text>
        <r>
          <rPr>
            <b/>
            <sz val="9"/>
            <color indexed="81"/>
            <rFont val="Tahoma"/>
            <family val="2"/>
          </rPr>
          <t>Jan van der Lei:</t>
        </r>
        <r>
          <rPr>
            <sz val="9"/>
            <color indexed="81"/>
            <rFont val="Tahoma"/>
            <family val="2"/>
          </rPr>
          <t xml:space="preserve">
rente over het renteresultaat inkomsten en uitgaven plus correctie rente mutatie voorzieningen</t>
        </r>
      </text>
    </comment>
    <comment ref="H89" authorId="0" shapeId="0">
      <text>
        <r>
          <rPr>
            <b/>
            <sz val="9"/>
            <color indexed="81"/>
            <rFont val="Tahoma"/>
            <family val="2"/>
          </rPr>
          <t>Jan van der Lei:</t>
        </r>
        <r>
          <rPr>
            <sz val="9"/>
            <color indexed="81"/>
            <rFont val="Tahoma"/>
            <family val="2"/>
          </rPr>
          <t xml:space="preserve">
afwijking in procenten</t>
        </r>
      </text>
    </comment>
  </commentList>
</comments>
</file>

<file path=xl/comments3.xml><?xml version="1.0" encoding="utf-8"?>
<comments xmlns="http://schemas.openxmlformats.org/spreadsheetml/2006/main">
  <authors>
    <author>Jan van der Lei</author>
  </authors>
  <commentList>
    <comment ref="E1" authorId="0" shapeId="0">
      <text>
        <r>
          <rPr>
            <b/>
            <sz val="9"/>
            <color indexed="81"/>
            <rFont val="Tahoma"/>
            <family val="2"/>
          </rPr>
          <t>Jan van der Lei:</t>
        </r>
        <r>
          <rPr>
            <sz val="9"/>
            <color indexed="81"/>
            <rFont val="Tahoma"/>
            <family val="2"/>
          </rPr>
          <t xml:space="preserve">
2013 is 138,66 per inwoner. Dat leidt tot een afschrijvingspercentage van 4,3377%. Dat toegepast op boekwaarde Ned mat activa 2015 en delen door aantal inwoners 2015 leidt tot 143,36 per inwoner.
</t>
        </r>
      </text>
    </comment>
    <comment ref="U1" authorId="0" shapeId="0">
      <text>
        <r>
          <rPr>
            <b/>
            <sz val="9"/>
            <color indexed="81"/>
            <rFont val="Tahoma"/>
            <family val="2"/>
          </rPr>
          <t>Jan van der Lei:</t>
        </r>
        <r>
          <rPr>
            <sz val="9"/>
            <color indexed="81"/>
            <rFont val="Tahoma"/>
            <family val="2"/>
          </rPr>
          <t xml:space="preserve">
CBS jaarrekening 2015
opendata febr 2017</t>
        </r>
      </text>
    </comment>
    <comment ref="V1" authorId="0" shapeId="0">
      <text>
        <r>
          <rPr>
            <b/>
            <sz val="9"/>
            <color indexed="81"/>
            <rFont val="Tahoma"/>
            <family val="2"/>
          </rPr>
          <t>Jan van der Lei:</t>
        </r>
        <r>
          <rPr>
            <sz val="9"/>
            <color indexed="81"/>
            <rFont val="Tahoma"/>
            <family val="2"/>
          </rPr>
          <t xml:space="preserve">
CBS jaarrekening 2015
opendata febr 2017</t>
        </r>
      </text>
    </comment>
    <comment ref="U31" authorId="0" shapeId="0">
      <text>
        <r>
          <rPr>
            <b/>
            <sz val="9"/>
            <color indexed="81"/>
            <rFont val="Tahoma"/>
            <family val="2"/>
          </rPr>
          <t>Jan van der Lei:</t>
        </r>
        <r>
          <rPr>
            <sz val="9"/>
            <color indexed="81"/>
            <rFont val="Tahoma"/>
            <family val="2"/>
          </rPr>
          <t xml:space="preserve">
Alleen Groesbeek in cijfers opendata 2015</t>
        </r>
      </text>
    </comment>
    <comment ref="V31" authorId="0" shapeId="0">
      <text>
        <r>
          <rPr>
            <b/>
            <sz val="9"/>
            <color indexed="81"/>
            <rFont val="Tahoma"/>
            <family val="2"/>
          </rPr>
          <t>Jan van der Lei:</t>
        </r>
        <r>
          <rPr>
            <sz val="9"/>
            <color indexed="81"/>
            <rFont val="Tahoma"/>
            <family val="2"/>
          </rPr>
          <t xml:space="preserve">
alleen Groesbeek in cijfers opendata 2015</t>
        </r>
      </text>
    </comment>
    <comment ref="U63" authorId="0" shapeId="0">
      <text>
        <r>
          <rPr>
            <b/>
            <sz val="9"/>
            <color indexed="81"/>
            <rFont val="Tahoma"/>
            <family val="2"/>
          </rPr>
          <t>Jan van der Lei:</t>
        </r>
        <r>
          <rPr>
            <sz val="9"/>
            <color indexed="81"/>
            <rFont val="Tahoma"/>
            <family val="2"/>
          </rPr>
          <t xml:space="preserve">
gemeente en cijfer ontbreken in opendata cbs 2015</t>
        </r>
      </text>
    </comment>
    <comment ref="V63" authorId="0" shapeId="0">
      <text>
        <r>
          <rPr>
            <b/>
            <sz val="9"/>
            <color indexed="81"/>
            <rFont val="Tahoma"/>
            <family val="2"/>
          </rPr>
          <t>Jan van der Lei:</t>
        </r>
        <r>
          <rPr>
            <sz val="9"/>
            <color indexed="81"/>
            <rFont val="Tahoma"/>
            <family val="2"/>
          </rPr>
          <t xml:space="preserve">
gemeente en cijfer ontbreken in opendata 2015 cbs</t>
        </r>
      </text>
    </comment>
    <comment ref="Y139" authorId="0" shapeId="0">
      <text>
        <r>
          <rPr>
            <b/>
            <sz val="9"/>
            <color indexed="81"/>
            <rFont val="Tahoma"/>
            <family val="2"/>
          </rPr>
          <t>Jan van der Lei:</t>
        </r>
        <r>
          <rPr>
            <sz val="9"/>
            <color indexed="81"/>
            <rFont val="Tahoma"/>
            <family val="2"/>
          </rPr>
          <t xml:space="preserve">
5742494 + BH
578572</t>
        </r>
      </text>
    </comment>
  </commentList>
</comments>
</file>

<file path=xl/sharedStrings.xml><?xml version="1.0" encoding="utf-8"?>
<sst xmlns="http://schemas.openxmlformats.org/spreadsheetml/2006/main" count="4976" uniqueCount="928">
  <si>
    <t>Groeivoeten</t>
  </si>
  <si>
    <t>Inflatie</t>
  </si>
  <si>
    <t>Loonstijging</t>
  </si>
  <si>
    <t>Rente</t>
  </si>
  <si>
    <t>a.</t>
  </si>
  <si>
    <t>b.</t>
  </si>
  <si>
    <t>c.</t>
  </si>
  <si>
    <t>Totaal a.</t>
  </si>
  <si>
    <t>Totaal b.</t>
  </si>
  <si>
    <t>Totaal c.</t>
  </si>
  <si>
    <t>d.</t>
  </si>
  <si>
    <t>Totaal d.</t>
  </si>
  <si>
    <t>e.</t>
  </si>
  <si>
    <t>Totaal e.</t>
  </si>
  <si>
    <t>f.</t>
  </si>
  <si>
    <t>g.</t>
  </si>
  <si>
    <t>Totaal f.</t>
  </si>
  <si>
    <t>Totaal g.</t>
  </si>
  <si>
    <t>Groei inwoners Nederland</t>
  </si>
  <si>
    <t>Groeivoet totale inkomsten</t>
  </si>
  <si>
    <t>h.</t>
  </si>
  <si>
    <t>Totaal h.</t>
  </si>
  <si>
    <t>Inkomsten</t>
  </si>
  <si>
    <t>Jaar</t>
  </si>
  <si>
    <t>Uitgaven</t>
  </si>
  <si>
    <t>Groei inwoners gemeente</t>
  </si>
  <si>
    <t>Rente 10 jaar lening</t>
  </si>
  <si>
    <t>Kapitaalverstrekkingen</t>
  </si>
  <si>
    <t>Overige voorraden</t>
  </si>
  <si>
    <t>Overlopende activa</t>
  </si>
  <si>
    <t>Overlopende passiva</t>
  </si>
  <si>
    <t>Slechtweerscenario</t>
  </si>
  <si>
    <t xml:space="preserve">Rente 1 jaarslening </t>
  </si>
  <si>
    <t>Investering 2022</t>
  </si>
  <si>
    <t xml:space="preserve">Rente doorgeleend geld </t>
  </si>
  <si>
    <t>Crediteuren</t>
  </si>
  <si>
    <t>Leningen aan verbonden partijen oud</t>
  </si>
  <si>
    <t>Langlopende leningen derden oud</t>
  </si>
  <si>
    <t>Langlopende uitzettingen oud</t>
  </si>
  <si>
    <t>Onderhandse leningen oud</t>
  </si>
  <si>
    <t>Overige vaste schuld oud</t>
  </si>
  <si>
    <t>Rente liquide middelen</t>
  </si>
  <si>
    <t>Leningen derden nieuw</t>
  </si>
  <si>
    <t>Herfinanciering nieuw</t>
  </si>
  <si>
    <t xml:space="preserve">Netto financiering </t>
  </si>
  <si>
    <t>Rente financiering</t>
  </si>
  <si>
    <t>Percentage</t>
  </si>
  <si>
    <t>Afschrijving leningen derden</t>
  </si>
  <si>
    <t xml:space="preserve">Afschrijving leningen verbonden partijen </t>
  </si>
  <si>
    <t>Ombuigingen</t>
  </si>
  <si>
    <t>Financieringsresultaat exploitatie met schok</t>
  </si>
  <si>
    <t>Netto financieringsresultaat</t>
  </si>
  <si>
    <t>Ombuigingspotentieel</t>
  </si>
  <si>
    <t xml:space="preserve">Effectiviteit pol.&amp; org. </t>
  </si>
  <si>
    <t>Financieringsresultaat expl.</t>
  </si>
  <si>
    <t>Netto financiering</t>
  </si>
  <si>
    <t>Opbrengst verkoop 2018</t>
  </si>
  <si>
    <t>Opbrengst verkoop 2019</t>
  </si>
  <si>
    <t>Opbrengst verkoop 2020</t>
  </si>
  <si>
    <t>Opbrengst verkoop 2021</t>
  </si>
  <si>
    <t>Opbrengst verkoop 2022</t>
  </si>
  <si>
    <t>Balans netto financiering en financieringsresultaat met schok</t>
  </si>
  <si>
    <t>Netto schuldquote</t>
  </si>
  <si>
    <t>Doorgeleend geld</t>
  </si>
  <si>
    <t>Financiering bezit normaal</t>
  </si>
  <si>
    <t>Financiering bezit met schok</t>
  </si>
  <si>
    <t>Fin.result.financiering</t>
  </si>
  <si>
    <t>Fin.result.bezit</t>
  </si>
  <si>
    <t>Groei inwoners Ned.</t>
  </si>
  <si>
    <t xml:space="preserve">Groei inwoners gemeente </t>
  </si>
  <si>
    <t>Fin.expl.</t>
  </si>
  <si>
    <t>Fin.bezit</t>
  </si>
  <si>
    <t xml:space="preserve">Fin.finan. </t>
  </si>
  <si>
    <t>©</t>
  </si>
  <si>
    <t>Groei bedrijfsvestigingen</t>
  </si>
  <si>
    <t>Algemene uitkering</t>
  </si>
  <si>
    <t>Onroerende zaak belasting woningen</t>
  </si>
  <si>
    <t>Afvalstoffenheffing</t>
  </si>
  <si>
    <t>Rioolheffing</t>
  </si>
  <si>
    <t>Secretarieleges</t>
  </si>
  <si>
    <t>Bouwleges</t>
  </si>
  <si>
    <t>Grafrechten</t>
  </si>
  <si>
    <t>i.</t>
  </si>
  <si>
    <t>Totaal i.</t>
  </si>
  <si>
    <t>Toeristenbelasting</t>
  </si>
  <si>
    <t>Marktgelden</t>
  </si>
  <si>
    <t>Sportcomplexen</t>
  </si>
  <si>
    <t>Loonkosten</t>
  </si>
  <si>
    <t xml:space="preserve">Groei inkomsten is gelijk aan inflatie &amp; economische groei &amp; groei bedrijfsvestigingen </t>
  </si>
  <si>
    <t xml:space="preserve">Groei inkomsten is gelijk aan inflatie &amp; groei inwoners  </t>
  </si>
  <si>
    <t>Groei inkomsten is gelijk aan loonstijging &amp; groei inwoners</t>
  </si>
  <si>
    <t xml:space="preserve">Groei uitgaven is gelijk aan 0,2 * inflatie &amp; 0,8 * loonstijging &amp; groei inwoners </t>
  </si>
  <si>
    <t>Specifieke uitkeringen onderwijs</t>
  </si>
  <si>
    <t>Overige vergunningen</t>
  </si>
  <si>
    <t>Uitkeringen bijstand inclusief BBZ</t>
  </si>
  <si>
    <t>Uitleenquote</t>
  </si>
  <si>
    <t>Solvabiliteitsratio</t>
  </si>
  <si>
    <t>Inwoners</t>
  </si>
  <si>
    <t>Gemeente</t>
  </si>
  <si>
    <r>
      <t xml:space="preserve">Inkomsten uit gewone exploitatie </t>
    </r>
    <r>
      <rPr>
        <sz val="10"/>
        <color theme="1"/>
        <rFont val="Arial"/>
        <family val="2"/>
      </rPr>
      <t>(exclusief rente en voor bestemming reserves)</t>
    </r>
  </si>
  <si>
    <r>
      <t xml:space="preserve">Uitgaven uit gewone exploitatie </t>
    </r>
    <r>
      <rPr>
        <sz val="10"/>
        <color theme="1"/>
        <rFont val="Arial"/>
        <family val="2"/>
      </rPr>
      <t>(exclusief afschrijvingen, rente en voor bestemming reserves)</t>
    </r>
  </si>
  <si>
    <t>Schuldratio</t>
  </si>
  <si>
    <t>Inwonergevoeligheid Alg.Uitk.</t>
  </si>
  <si>
    <t xml:space="preserve">In euro </t>
  </si>
  <si>
    <t>Huren &amp; pachten</t>
  </si>
  <si>
    <t xml:space="preserve">Groei inkomsten is gelijk aan 0,8 * inflatie &amp; 0,2 * loonstijging &amp; groei inwoners </t>
  </si>
  <si>
    <t xml:space="preserve">Groei uitgaven is gelijk aan loonstijging &amp; groei inwonertal </t>
  </si>
  <si>
    <t>Rente-inkomsten uitzettingen</t>
  </si>
  <si>
    <t>Fin.resultaat bezit</t>
  </si>
  <si>
    <t>Parkeerbelasting</t>
  </si>
  <si>
    <t>Investeringen</t>
  </si>
  <si>
    <t>Financieringstructuur</t>
  </si>
  <si>
    <t>Overige specifieke uitkeringen</t>
  </si>
  <si>
    <t>Rente kortlopende schuld</t>
  </si>
  <si>
    <t>Houdbaarheidstest gemeentefinanciën</t>
  </si>
  <si>
    <t>Precario</t>
  </si>
  <si>
    <t>Inhuur derden</t>
  </si>
  <si>
    <t>Dividend</t>
  </si>
  <si>
    <t>Houdbaarheidstest gemeentefinancien</t>
  </si>
  <si>
    <t>Kaptaalverstrekkingen</t>
  </si>
  <si>
    <t>Leningen aan verbonden partijen</t>
  </si>
  <si>
    <t>Leningen aan derden</t>
  </si>
  <si>
    <t>Langlopende uitzettingen</t>
  </si>
  <si>
    <t>Balanstotaal</t>
  </si>
  <si>
    <t>Debet</t>
  </si>
  <si>
    <t>Credit</t>
  </si>
  <si>
    <t>Investering 2023</t>
  </si>
  <si>
    <t>Opbrengst verkoop 2023</t>
  </si>
  <si>
    <t>Groei bedrijfsvestigingen per jaar</t>
  </si>
  <si>
    <t>Rentekosten leningen</t>
  </si>
  <si>
    <t>Eind</t>
  </si>
  <si>
    <t>Rentekosten</t>
  </si>
  <si>
    <t>Lopende uitgaven</t>
  </si>
  <si>
    <t>excl. bouwgrondexpl.</t>
  </si>
  <si>
    <t>incl. bouwgrondexpl.</t>
  </si>
  <si>
    <t>Scenario</t>
  </si>
  <si>
    <t>Nieuwe leningen verbonden partijen</t>
  </si>
  <si>
    <t>Nieuwe leningen aan derden</t>
  </si>
  <si>
    <t>Rente 10 jaar staatslening</t>
  </si>
  <si>
    <t>Rente uitgeleend</t>
  </si>
  <si>
    <t>Rente langlopende lening</t>
  </si>
  <si>
    <t>jaar</t>
  </si>
  <si>
    <t>looptijd</t>
  </si>
  <si>
    <t>Aa en Hunze</t>
  </si>
  <si>
    <t>Assen</t>
  </si>
  <si>
    <t>Borger-Odoorn</t>
  </si>
  <si>
    <t>Coevorden</t>
  </si>
  <si>
    <t>Emmen</t>
  </si>
  <si>
    <t>Hoogeveen</t>
  </si>
  <si>
    <t>Meppel</t>
  </si>
  <si>
    <t>Midden-Drenthe</t>
  </si>
  <si>
    <t>Noordenveld</t>
  </si>
  <si>
    <t>Tynaarlo</t>
  </si>
  <si>
    <t>Westerveld</t>
  </si>
  <si>
    <t>De Wolden</t>
  </si>
  <si>
    <t>Midden</t>
  </si>
  <si>
    <t>Appingedam</t>
  </si>
  <si>
    <t>Bedum</t>
  </si>
  <si>
    <t>Bellingwedde</t>
  </si>
  <si>
    <t>De Marne</t>
  </si>
  <si>
    <t>Delfzijl</t>
  </si>
  <si>
    <t>Eemsmond</t>
  </si>
  <si>
    <t>Groningen</t>
  </si>
  <si>
    <t>Grootegast</t>
  </si>
  <si>
    <t>Haren</t>
  </si>
  <si>
    <t>Hoogezand-Sappemeer</t>
  </si>
  <si>
    <t>Leek</t>
  </si>
  <si>
    <t>Loppersum</t>
  </si>
  <si>
    <t>Marum</t>
  </si>
  <si>
    <t>Menterwolde</t>
  </si>
  <si>
    <t>Oldambt</t>
  </si>
  <si>
    <t>Pekela</t>
  </si>
  <si>
    <t>Slochteren</t>
  </si>
  <si>
    <t>Stadskanaal</t>
  </si>
  <si>
    <t>Ten Boer</t>
  </si>
  <si>
    <t>Veendam</t>
  </si>
  <si>
    <t>Vlagtwedde</t>
  </si>
  <si>
    <t>Winsum</t>
  </si>
  <si>
    <t>Zuidhorn</t>
  </si>
  <si>
    <t>Achtkarspelen</t>
  </si>
  <si>
    <t>Ameland</t>
  </si>
  <si>
    <t>Dantumadiel</t>
  </si>
  <si>
    <t>Dongeradeel</t>
  </si>
  <si>
    <t>Ferwerderadiel</t>
  </si>
  <si>
    <t>Franekeradeel</t>
  </si>
  <si>
    <t>Harlingen</t>
  </si>
  <si>
    <t>Heerenveen</t>
  </si>
  <si>
    <t>Leeuwarden</t>
  </si>
  <si>
    <t>Leeuwarderadeel</t>
  </si>
  <si>
    <t>Littenseradiel</t>
  </si>
  <si>
    <t>Menameradiel</t>
  </si>
  <si>
    <t>Ooststellingwerf</t>
  </si>
  <si>
    <t>Opsterland</t>
  </si>
  <si>
    <t>Schiermonnikoog</t>
  </si>
  <si>
    <t>Smallingerland</t>
  </si>
  <si>
    <t>Terschelling</t>
  </si>
  <si>
    <t>Tytsjerksteradiel</t>
  </si>
  <si>
    <t>Vlieland</t>
  </si>
  <si>
    <t>Weststellingwerf</t>
  </si>
  <si>
    <t>Almelo</t>
  </si>
  <si>
    <t>Borne</t>
  </si>
  <si>
    <t>Dalfsen</t>
  </si>
  <si>
    <t>Deventer</t>
  </si>
  <si>
    <t>Dinkelland</t>
  </si>
  <si>
    <t>Enschede</t>
  </si>
  <si>
    <t>Haaksbergen</t>
  </si>
  <si>
    <t>Hardenberg</t>
  </si>
  <si>
    <t>Hellendoorn</t>
  </si>
  <si>
    <t>Hof van Twente</t>
  </si>
  <si>
    <t>Kampen</t>
  </si>
  <si>
    <t>Losser</t>
  </si>
  <si>
    <t>Oldenzaal</t>
  </si>
  <si>
    <t>Olst-Wijhe</t>
  </si>
  <si>
    <t>Ommen</t>
  </si>
  <si>
    <t>Raalte</t>
  </si>
  <si>
    <t>Rijssen-Holten</t>
  </si>
  <si>
    <t>Staphorst</t>
  </si>
  <si>
    <t>Steenwijkerland</t>
  </si>
  <si>
    <t>Tubbergen</t>
  </si>
  <si>
    <t>Twenterand</t>
  </si>
  <si>
    <t>Wierden</t>
  </si>
  <si>
    <t>Zwartewaterland</t>
  </si>
  <si>
    <t>Zwolle</t>
  </si>
  <si>
    <t>Aalten</t>
  </si>
  <si>
    <t>Apeldoorn</t>
  </si>
  <si>
    <t>Arnhem</t>
  </si>
  <si>
    <t>Barneveld</t>
  </si>
  <si>
    <t>Berkelland</t>
  </si>
  <si>
    <t>Beuningen</t>
  </si>
  <si>
    <t>Bronckhorst</t>
  </si>
  <si>
    <t>Brummen</t>
  </si>
  <si>
    <t>Buren</t>
  </si>
  <si>
    <t>Culemborg</t>
  </si>
  <si>
    <t>Doesburg</t>
  </si>
  <si>
    <t>Doetinchem</t>
  </si>
  <si>
    <t>Druten</t>
  </si>
  <si>
    <t>Duiven</t>
  </si>
  <si>
    <t>Ede</t>
  </si>
  <si>
    <t>Elburg</t>
  </si>
  <si>
    <t>Epe</t>
  </si>
  <si>
    <t>Ermelo</t>
  </si>
  <si>
    <t>Geldermalsen</t>
  </si>
  <si>
    <t>Harderwijk</t>
  </si>
  <si>
    <t>Hattem</t>
  </si>
  <si>
    <t>Heerde</t>
  </si>
  <si>
    <t>Heumen</t>
  </si>
  <si>
    <t>Lingewaal</t>
  </si>
  <si>
    <t>Lingewaard</t>
  </si>
  <si>
    <t>Lochem</t>
  </si>
  <si>
    <t>Maasdriel</t>
  </si>
  <si>
    <t>Montferland</t>
  </si>
  <si>
    <t>Neder-Betuwe</t>
  </si>
  <si>
    <t>Neerijnen</t>
  </si>
  <si>
    <t>Nijkerk</t>
  </si>
  <si>
    <t>Nijmegen</t>
  </si>
  <si>
    <t>Nunspeet</t>
  </si>
  <si>
    <t>Oldebroek</t>
  </si>
  <si>
    <t>Oost Gelre</t>
  </si>
  <si>
    <t>Oude IJsselstreek</t>
  </si>
  <si>
    <t>Overbetuwe</t>
  </si>
  <si>
    <t>Putten</t>
  </si>
  <si>
    <t>Renkum</t>
  </si>
  <si>
    <t>Rheden</t>
  </si>
  <si>
    <t>Rijnwaarden</t>
  </si>
  <si>
    <t>Rozendaal</t>
  </si>
  <si>
    <t>Scherpenzeel</t>
  </si>
  <si>
    <t>Tiel</t>
  </si>
  <si>
    <t>Voorst</t>
  </si>
  <si>
    <t>Wageningen</t>
  </si>
  <si>
    <t>West Maas en Waal</t>
  </si>
  <si>
    <t>Westervoort</t>
  </si>
  <si>
    <t>Wijchen</t>
  </si>
  <si>
    <t>Winterswijk</t>
  </si>
  <si>
    <t>Zaltbommel</t>
  </si>
  <si>
    <t>Zevenaar</t>
  </si>
  <si>
    <t>Zutphen</t>
  </si>
  <si>
    <t>Amersfoort</t>
  </si>
  <si>
    <t>Baarn</t>
  </si>
  <si>
    <t>Bunnik</t>
  </si>
  <si>
    <t>Bunschoten</t>
  </si>
  <si>
    <t>De Bilt</t>
  </si>
  <si>
    <t>De Ronde Venen</t>
  </si>
  <si>
    <t>Eemnes</t>
  </si>
  <si>
    <t>Houten</t>
  </si>
  <si>
    <t>IJsselstein</t>
  </si>
  <si>
    <t>Leusden</t>
  </si>
  <si>
    <t>Lopik</t>
  </si>
  <si>
    <t>Nieuwegein</t>
  </si>
  <si>
    <t>Oudewater</t>
  </si>
  <si>
    <t>Renswoude</t>
  </si>
  <si>
    <t>Rhenen</t>
  </si>
  <si>
    <t>Soest</t>
  </si>
  <si>
    <t>Stichtse Vecht</t>
  </si>
  <si>
    <t>Utrecht</t>
  </si>
  <si>
    <t>Utrechtse Heuvelrug</t>
  </si>
  <si>
    <t>Veenendaal</t>
  </si>
  <si>
    <t>Vianen</t>
  </si>
  <si>
    <t>Wijk bij Duurstede</t>
  </si>
  <si>
    <t>Woerden</t>
  </si>
  <si>
    <t>Woudenberg</t>
  </si>
  <si>
    <t>Zeist</t>
  </si>
  <si>
    <t>Aalsmeer</t>
  </si>
  <si>
    <t>Alkmaar</t>
  </si>
  <si>
    <t>Amstelveen</t>
  </si>
  <si>
    <t>Amsterdam</t>
  </si>
  <si>
    <t>Beemster</t>
  </si>
  <si>
    <t>Beverwijk</t>
  </si>
  <si>
    <t>Blaricum</t>
  </si>
  <si>
    <t>Bloemendaal</t>
  </si>
  <si>
    <t>Castricum</t>
  </si>
  <si>
    <t>Den Helder</t>
  </si>
  <si>
    <t>Diemen</t>
  </si>
  <si>
    <t>Drechterland</t>
  </si>
  <si>
    <t>Edam-Volendam</t>
  </si>
  <si>
    <t>Enkhuizen</t>
  </si>
  <si>
    <t>Haarlem</t>
  </si>
  <si>
    <t>Haarlemmermeer</t>
  </si>
  <si>
    <t>Heemskerk</t>
  </si>
  <si>
    <t>Heemstede</t>
  </si>
  <si>
    <t>Heerhugowaard</t>
  </si>
  <si>
    <t>Heiloo</t>
  </si>
  <si>
    <t>Hilversum</t>
  </si>
  <si>
    <t>Hollands Kroon</t>
  </si>
  <si>
    <t>Hoorn</t>
  </si>
  <si>
    <t>Huizen</t>
  </si>
  <si>
    <t>Koggenland</t>
  </si>
  <si>
    <t>Landsmeer</t>
  </si>
  <si>
    <t>Langedijk</t>
  </si>
  <si>
    <t>Laren</t>
  </si>
  <si>
    <t>Medemblik</t>
  </si>
  <si>
    <t>Oostzaan</t>
  </si>
  <si>
    <t>Opmeer</t>
  </si>
  <si>
    <t>Ouder-Amstel</t>
  </si>
  <si>
    <t>Purmerend</t>
  </si>
  <si>
    <t>Schagen</t>
  </si>
  <si>
    <t>Stede Broec</t>
  </si>
  <si>
    <t>Texel</t>
  </si>
  <si>
    <t>Uitgeest</t>
  </si>
  <si>
    <t>Uithoorn</t>
  </si>
  <si>
    <t>Velsen</t>
  </si>
  <si>
    <t>Waterland</t>
  </si>
  <si>
    <t>Weesp</t>
  </si>
  <si>
    <t>Wijdemeren</t>
  </si>
  <si>
    <t>Wormerland</t>
  </si>
  <si>
    <t>Zaanstad</t>
  </si>
  <si>
    <t>Zandvoort</t>
  </si>
  <si>
    <t>Alblasserdam</t>
  </si>
  <si>
    <t>Albrandswaard</t>
  </si>
  <si>
    <t>Alphen aan den Rijn</t>
  </si>
  <si>
    <t>Barendrecht</t>
  </si>
  <si>
    <t>Binnenmaas</t>
  </si>
  <si>
    <t>Bodegraven-Reeuwijk</t>
  </si>
  <si>
    <t>Brielle</t>
  </si>
  <si>
    <t>Capelle aan den IJssel</t>
  </si>
  <si>
    <t>Cromstrijen</t>
  </si>
  <si>
    <t>Delft</t>
  </si>
  <si>
    <t>Dordrecht</t>
  </si>
  <si>
    <t>Giessenlanden</t>
  </si>
  <si>
    <t>Goeree-Overflakkee</t>
  </si>
  <si>
    <t>Gorinchem</t>
  </si>
  <si>
    <t>Gouda</t>
  </si>
  <si>
    <t>Hardinxveld-Giessendam</t>
  </si>
  <si>
    <t>Hellevoetsluis</t>
  </si>
  <si>
    <t>Hendrik-Ido-Ambacht</t>
  </si>
  <si>
    <t>Hillegom</t>
  </si>
  <si>
    <t>Kaag en Braassem</t>
  </si>
  <si>
    <t>Katwijk</t>
  </si>
  <si>
    <t>Korendijk</t>
  </si>
  <si>
    <t>Krimpen aan den IJssel</t>
  </si>
  <si>
    <t>Lansingerland</t>
  </si>
  <si>
    <t>Leerdam</t>
  </si>
  <si>
    <t>Leiden</t>
  </si>
  <si>
    <t>Leiderdorp</t>
  </si>
  <si>
    <t>Leidschendam-Voorburg</t>
  </si>
  <si>
    <t>Lisse</t>
  </si>
  <si>
    <t>Maassluis</t>
  </si>
  <si>
    <t>Midden-Delfland</t>
  </si>
  <si>
    <t>Molenwaard</t>
  </si>
  <si>
    <t>Nieuwkoop</t>
  </si>
  <si>
    <t>Noordwijk</t>
  </si>
  <si>
    <t>Noordwijkerhout</t>
  </si>
  <si>
    <t>Oegstgeest</t>
  </si>
  <si>
    <t>Oud-Beijerland</t>
  </si>
  <si>
    <t>Papendrecht</t>
  </si>
  <si>
    <t>Pijnacker-Nootdorp</t>
  </si>
  <si>
    <t>Ridderkerk</t>
  </si>
  <si>
    <t>Rijswijk</t>
  </si>
  <si>
    <t>Rotterdam</t>
  </si>
  <si>
    <t>Schiedam</t>
  </si>
  <si>
    <t>Sliedrecht</t>
  </si>
  <si>
    <t>Strijen</t>
  </si>
  <si>
    <t>Teylingen</t>
  </si>
  <si>
    <t>Vlaardingen</t>
  </si>
  <si>
    <t>Voorschoten</t>
  </si>
  <si>
    <t>Waddinxveen</t>
  </si>
  <si>
    <t>Wassenaar</t>
  </si>
  <si>
    <t>Westland</t>
  </si>
  <si>
    <t>Westvoorne</t>
  </si>
  <si>
    <t>Zederik</t>
  </si>
  <si>
    <t>Zoetermeer</t>
  </si>
  <si>
    <t>Zoeterwoude</t>
  </si>
  <si>
    <t>Zuidplas</t>
  </si>
  <si>
    <t>Zwijndrecht</t>
  </si>
  <si>
    <t>Borsele</t>
  </si>
  <si>
    <t>Goes</t>
  </si>
  <si>
    <t>Hulst</t>
  </si>
  <si>
    <t>Kapelle</t>
  </si>
  <si>
    <t>Middelburg</t>
  </si>
  <si>
    <t>Noord-Beveland</t>
  </si>
  <si>
    <t>Reimerswaal</t>
  </si>
  <si>
    <t>Schouwen-Duiveland</t>
  </si>
  <si>
    <t>Sluis</t>
  </si>
  <si>
    <t>Terneuzen</t>
  </si>
  <si>
    <t>Tholen</t>
  </si>
  <si>
    <t>Veere</t>
  </si>
  <si>
    <t>Vlissingen</t>
  </si>
  <si>
    <t>Aalburg</t>
  </si>
  <si>
    <t>Alphen-Chaam</t>
  </si>
  <si>
    <t>Asten</t>
  </si>
  <si>
    <t>Baarle-Nassau</t>
  </si>
  <si>
    <t>Bergeijk</t>
  </si>
  <si>
    <t>Bergen op Zoom</t>
  </si>
  <si>
    <t>Bernheze</t>
  </si>
  <si>
    <t>Best</t>
  </si>
  <si>
    <t>Bladel</t>
  </si>
  <si>
    <t>Boekel</t>
  </si>
  <si>
    <t>Boxmeer</t>
  </si>
  <si>
    <t>Boxtel</t>
  </si>
  <si>
    <t>Breda</t>
  </si>
  <si>
    <t>Cranendonck</t>
  </si>
  <si>
    <t>Cuijk</t>
  </si>
  <si>
    <t>Deurne</t>
  </si>
  <si>
    <t>Dongen</t>
  </si>
  <si>
    <t>Drimmelen</t>
  </si>
  <si>
    <t>Eersel</t>
  </si>
  <si>
    <t>Eindhoven</t>
  </si>
  <si>
    <t>Etten-Leur</t>
  </si>
  <si>
    <t>Geertruidenberg</t>
  </si>
  <si>
    <t>Geldrop-Mierlo</t>
  </si>
  <si>
    <t>Gemert-Bakel</t>
  </si>
  <si>
    <t>Gilze en Rijen</t>
  </si>
  <si>
    <t>Goirle</t>
  </si>
  <si>
    <t>Grave</t>
  </si>
  <si>
    <t>Haaren</t>
  </si>
  <si>
    <t>Halderberge</t>
  </si>
  <si>
    <t>Heeze-Leende</t>
  </si>
  <si>
    <t>Helmond</t>
  </si>
  <si>
    <t>Heusden</t>
  </si>
  <si>
    <t>Hilvarenbeek</t>
  </si>
  <si>
    <t>Laarbeek</t>
  </si>
  <si>
    <t>Landerd</t>
  </si>
  <si>
    <t>Loon op Zand</t>
  </si>
  <si>
    <t>Mill en Sint Hubert</t>
  </si>
  <si>
    <t>Moerdijk</t>
  </si>
  <si>
    <t>Oirschot</t>
  </si>
  <si>
    <t>Oisterwijk</t>
  </si>
  <si>
    <t>Oosterhout</t>
  </si>
  <si>
    <t>Oss</t>
  </si>
  <si>
    <t>Reusel-De Mierden</t>
  </si>
  <si>
    <t>Roosendaal</t>
  </si>
  <si>
    <t>Rucphen</t>
  </si>
  <si>
    <t>Schijndel</t>
  </si>
  <si>
    <t>Sint-Michielsgestel</t>
  </si>
  <si>
    <t>Sint-Oedenrode</t>
  </si>
  <si>
    <t>Someren</t>
  </si>
  <si>
    <t>Son en Breugel</t>
  </si>
  <si>
    <t>Steenbergen</t>
  </si>
  <si>
    <t>Tilburg</t>
  </si>
  <si>
    <t>Uden</t>
  </si>
  <si>
    <t>Valkenswaard</t>
  </si>
  <si>
    <t>Veghel</t>
  </si>
  <si>
    <t>Veldhoven</t>
  </si>
  <si>
    <t>Vught</t>
  </si>
  <si>
    <t>Waalre</t>
  </si>
  <si>
    <t>Waalwijk</t>
  </si>
  <si>
    <t>Werkendam</t>
  </si>
  <si>
    <t>Woensdrecht</t>
  </si>
  <si>
    <t>Woudrichem</t>
  </si>
  <si>
    <t>Zundert</t>
  </si>
  <si>
    <t>Beek</t>
  </si>
  <si>
    <t>Beesel</t>
  </si>
  <si>
    <t>Brunssum</t>
  </si>
  <si>
    <t>Echt-Susteren</t>
  </si>
  <si>
    <t>Eijsden-Margraten</t>
  </si>
  <si>
    <t>Gennep</t>
  </si>
  <si>
    <t>Gulpen-Wittem</t>
  </si>
  <si>
    <t>Heerlen</t>
  </si>
  <si>
    <t>Horst aan de Maas</t>
  </si>
  <si>
    <t>Kerkrade</t>
  </si>
  <si>
    <t>Landgraaf</t>
  </si>
  <si>
    <t>Leudal</t>
  </si>
  <si>
    <t>Maasgouw</t>
  </si>
  <si>
    <t>Maastricht</t>
  </si>
  <si>
    <t>Meerssen</t>
  </si>
  <si>
    <t>Mook en Middelaar</t>
  </si>
  <si>
    <t>Nederweert</t>
  </si>
  <si>
    <t>Nuth</t>
  </si>
  <si>
    <t>Onderbanken</t>
  </si>
  <si>
    <t>Peel en Maas</t>
  </si>
  <si>
    <t>Roerdalen</t>
  </si>
  <si>
    <t>Roermond</t>
  </si>
  <si>
    <t>Schinnen</t>
  </si>
  <si>
    <t>Simpelveld</t>
  </si>
  <si>
    <t>Sittard-Geleen</t>
  </si>
  <si>
    <t>Stein</t>
  </si>
  <si>
    <t>Vaals</t>
  </si>
  <si>
    <t>Valkenburg aan de Geul</t>
  </si>
  <si>
    <t>Venlo</t>
  </si>
  <si>
    <t>Venray</t>
  </si>
  <si>
    <t>Voerendaal</t>
  </si>
  <si>
    <t>Weert</t>
  </si>
  <si>
    <t>Almere</t>
  </si>
  <si>
    <t>Dronten</t>
  </si>
  <si>
    <t>Lelystad</t>
  </si>
  <si>
    <t>Noordoostpolder</t>
  </si>
  <si>
    <t>Urk</t>
  </si>
  <si>
    <t>Zeewolde</t>
  </si>
  <si>
    <t>Kollumerland en Nieuwkruisland</t>
  </si>
  <si>
    <t>Nuenen, Gerwen en Nederwetten</t>
  </si>
  <si>
    <t>Bergen (L.)</t>
  </si>
  <si>
    <t>Bergen (NH.)</t>
  </si>
  <si>
    <t>Haarlemmerliede en Spaarnwoude</t>
  </si>
  <si>
    <t>het Bildt</t>
  </si>
  <si>
    <t>Montfoort</t>
  </si>
  <si>
    <t>Sint Anthonis</t>
  </si>
  <si>
    <t>Súdwest-Fryslân</t>
  </si>
  <si>
    <t>Hoog</t>
  </si>
  <si>
    <t>Nederland</t>
  </si>
  <si>
    <t>s-Gravenhage</t>
  </si>
  <si>
    <t>Hengelo</t>
  </si>
  <si>
    <t>Investeringsruimte</t>
  </si>
  <si>
    <t>Onbenutte belastingcapaciteit</t>
  </si>
  <si>
    <t>Uitkomsten scenario's met ombuigingen</t>
  </si>
  <si>
    <t xml:space="preserve">Niet in expl.genomen bouwgrond </t>
  </si>
  <si>
    <t>Voorzieningen</t>
  </si>
  <si>
    <t>Overige langlopende schulden</t>
  </si>
  <si>
    <t>Langlopende leningen</t>
  </si>
  <si>
    <t>Totaal eigen vermogen</t>
  </si>
  <si>
    <t>Reserves</t>
  </si>
  <si>
    <t>Totaal voorraden</t>
  </si>
  <si>
    <t>Totaal langlopende schuld</t>
  </si>
  <si>
    <t>Afschrijvingspercentage</t>
  </si>
  <si>
    <t>Mutatie voorziening</t>
  </si>
  <si>
    <t>Inw.gevoeligheid midden laag</t>
  </si>
  <si>
    <t>Overige niet ingedeelde uitgaven</t>
  </si>
  <si>
    <t>Overige niet ingedeelde inkomsten</t>
  </si>
  <si>
    <t>Materiële vaste activa</t>
  </si>
  <si>
    <t xml:space="preserve">Totaal (im-)materiële vaste activa </t>
  </si>
  <si>
    <t>Onderhanden werk incl. bouwgrond in expl.</t>
  </si>
  <si>
    <t>Rente-opbrengst</t>
  </si>
  <si>
    <t>Ombuiging grondexploitatie</t>
  </si>
  <si>
    <t>Gem kst.</t>
  </si>
  <si>
    <t>Gem opbrgst.</t>
  </si>
  <si>
    <t>Correctie 0%</t>
  </si>
  <si>
    <t>Inroepen verleende garanties</t>
  </si>
  <si>
    <t>Laag</t>
  </si>
  <si>
    <t>Boekwinst verkopen kapitaalverstrekkingen</t>
  </si>
  <si>
    <t>Handmatig</t>
  </si>
  <si>
    <t>Netto schuld incl.</t>
  </si>
  <si>
    <t>Investering 2024</t>
  </si>
  <si>
    <t>Opbrengst verkoop 2024</t>
  </si>
  <si>
    <t>Slechtweer scenario</t>
  </si>
  <si>
    <t>Taakwijziging fin.verhouding</t>
  </si>
  <si>
    <t>Onbenutte belst.cap.</t>
  </si>
  <si>
    <t>Ombuigingsrelevante uitgaven</t>
  </si>
  <si>
    <t>Balansprognose</t>
  </si>
  <si>
    <t>Nieuwe langlopende uitzettingen</t>
  </si>
  <si>
    <t>Krimpenerwaard</t>
  </si>
  <si>
    <t>Nissewaard</t>
  </si>
  <si>
    <t>s-Hertogenbosch</t>
  </si>
  <si>
    <t>Rente nieuwe 10 jaars lening</t>
  </si>
  <si>
    <t>Quick ratio</t>
  </si>
  <si>
    <t xml:space="preserve">Boekwinst verkopen materiele vaste activa </t>
  </si>
  <si>
    <t>Saldo bouwgrond</t>
  </si>
  <si>
    <t>(Im-)materiële vaste activa</t>
  </si>
  <si>
    <t>Opbrengst verkoop bezit</t>
  </si>
  <si>
    <t>in exploitatie result.</t>
  </si>
  <si>
    <t>Voorraadquote (grondexploitatie)</t>
  </si>
  <si>
    <t>Netto schuldquote (incl. uitgeleend geld)</t>
  </si>
  <si>
    <t>Investering 2018</t>
  </si>
  <si>
    <t>Investering 2025</t>
  </si>
  <si>
    <t>Opbrengst verkoop 2025</t>
  </si>
  <si>
    <t>Aflossing 2021</t>
  </si>
  <si>
    <t xml:space="preserve">Gemiddeld rentepercentage restant 2022 </t>
  </si>
  <si>
    <t>Aflossing 2025</t>
  </si>
  <si>
    <t>Gemiddeld rentepercentage restant 2025</t>
  </si>
  <si>
    <t>Gooise Meren</t>
  </si>
  <si>
    <t>Netto schuldquote incl. uitgeleend</t>
  </si>
  <si>
    <t>Resultaat v. mutatie reserves in % van inkomsten</t>
  </si>
  <si>
    <t>Baten v. mutatie reserves incl. bouwgrondexpl.</t>
  </si>
  <si>
    <t>Lasten v. mutatie reserves incl. kostprijs verk. bouwgrond</t>
  </si>
  <si>
    <t>Onbenutte belastingcapaciteit in % van inkomsten</t>
  </si>
  <si>
    <t>Economische groei -/- groei inw. NL</t>
  </si>
  <si>
    <t>Niet in exploitatie genomen grond</t>
  </si>
  <si>
    <t>Onderh.werk bouwgrondexploitatie</t>
  </si>
  <si>
    <t>Netto schuld / inw.</t>
  </si>
  <si>
    <t>Ombuiging investeringen (im)materiële activa + invest.bijdragen derden</t>
  </si>
  <si>
    <t>Liquiditeit</t>
  </si>
  <si>
    <t>Solvabiliteit</t>
  </si>
  <si>
    <t>Exploitatie</t>
  </si>
  <si>
    <t>Voorzieningenniveau</t>
  </si>
  <si>
    <t>Houdbaarheid</t>
  </si>
  <si>
    <t>Afname onderhanden werk (kst.pr.verkopen)</t>
  </si>
  <si>
    <t>OZB</t>
  </si>
  <si>
    <t>Overige belastingen</t>
  </si>
  <si>
    <t>Bijstand</t>
  </si>
  <si>
    <t>Riool rechten</t>
  </si>
  <si>
    <t>Overige rechten &amp; leges</t>
  </si>
  <si>
    <t xml:space="preserve">Bouwgrond </t>
  </si>
  <si>
    <t>Overige eigen inkomsten</t>
  </si>
  <si>
    <t>Rijksoverdrachten</t>
  </si>
  <si>
    <t>Overige specifieke &amp; decentr. uitkeringen</t>
  </si>
  <si>
    <t>Groeivoet lopende uitgaven</t>
  </si>
  <si>
    <t>Inkomsten voor bestemming reserves en excl. rente, boekwinst verk. activa, bouwgrondexploitatie (a)</t>
  </si>
  <si>
    <t>Rente-inkomsten (b)</t>
  </si>
  <si>
    <t>Boekwinst (verkoop) vaste materiele en financiele activa (d)</t>
  </si>
  <si>
    <t xml:space="preserve">Baten bouwgrond (c) </t>
  </si>
  <si>
    <t>Lasten voor mutatie reserves (e + f + g + h + i)</t>
  </si>
  <si>
    <t>Lopende uitgaven excl. rente, afschrijvingen, investeringen, bouwgrondexploitatie (f)</t>
  </si>
  <si>
    <t>Rente-uitgaven (g)</t>
  </si>
  <si>
    <t>Lasten bouwgrond (h)</t>
  </si>
  <si>
    <t>Afschrijvingen (i)</t>
  </si>
  <si>
    <t>Mutatie voorzieningen (j)</t>
  </si>
  <si>
    <t>Baten voor mutatie reserves (a + b + c + d + e)</t>
  </si>
  <si>
    <t>Boekwinst (verlies) overboeking / verkoop strategische gronden (e)</t>
  </si>
  <si>
    <t>Netto schuld excl.</t>
  </si>
  <si>
    <t>Inkomensmix</t>
  </si>
  <si>
    <t>1. Provincie</t>
  </si>
  <si>
    <t>DR</t>
  </si>
  <si>
    <t>NB</t>
  </si>
  <si>
    <t>NH</t>
  </si>
  <si>
    <t>GLD</t>
  </si>
  <si>
    <t>FR</t>
  </si>
  <si>
    <t>ZH</t>
  </si>
  <si>
    <t>OV</t>
  </si>
  <si>
    <t>FL</t>
  </si>
  <si>
    <t>UT</t>
  </si>
  <si>
    <t>GR</t>
  </si>
  <si>
    <t>LB</t>
  </si>
  <si>
    <t>Berg en Dal</t>
  </si>
  <si>
    <t>ZL</t>
  </si>
  <si>
    <t>De Fryske Marren</t>
  </si>
  <si>
    <t>1. Gemeente</t>
  </si>
  <si>
    <t>Onbenutte OZB capaciteit</t>
  </si>
  <si>
    <t>Onroerende zaak belasting niet-woningen</t>
  </si>
  <si>
    <t xml:space="preserve">Aflossing 2019 </t>
  </si>
  <si>
    <t>Gemiddeld rentepercentage restant 2020</t>
  </si>
  <si>
    <t>Aflossing 2022</t>
  </si>
  <si>
    <t xml:space="preserve">Gemiddeld rentepercentage restant 2023 </t>
  </si>
  <si>
    <t>Aflossing 2026</t>
  </si>
  <si>
    <t>Gemiddeld rentepercentage restant 2026</t>
  </si>
  <si>
    <t>Aflossing 2018</t>
  </si>
  <si>
    <t>Solvabiliteitsratio (excl. voorzieningen)</t>
  </si>
  <si>
    <t>Rente liquide middelen &amp; uitzettingen</t>
  </si>
  <si>
    <t>Rente nieuw doorgeleend geld</t>
  </si>
  <si>
    <t>Immateriële vaste activa (incl.bijdr.activa derden)</t>
  </si>
  <si>
    <t>Vaste activa</t>
  </si>
  <si>
    <t>Vlottende activa</t>
  </si>
  <si>
    <t>Vlottende passiva</t>
  </si>
  <si>
    <t>Vaste Passiva</t>
  </si>
  <si>
    <t>Boekwinst overboeking NIEGG naar onderhandenwerk</t>
  </si>
  <si>
    <t>Rente en dividend</t>
  </si>
  <si>
    <t>Afhankelijkheidsratio</t>
  </si>
  <si>
    <t>WOZ waarde woningen</t>
  </si>
  <si>
    <t>WOZ waarde niet-woningen eig.</t>
  </si>
  <si>
    <t>WOZ waarde niet-woningen gebr.</t>
  </si>
  <si>
    <t>Huishoudelijke hulp</t>
  </si>
  <si>
    <t>2017</t>
  </si>
  <si>
    <t>2018</t>
  </si>
  <si>
    <t>2019</t>
  </si>
  <si>
    <t>2020</t>
  </si>
  <si>
    <t>2021</t>
  </si>
  <si>
    <t>2022</t>
  </si>
  <si>
    <t>2023</t>
  </si>
  <si>
    <t>2024</t>
  </si>
  <si>
    <t>2025</t>
  </si>
  <si>
    <t>2026</t>
  </si>
  <si>
    <t xml:space="preserve">Macrogegevens trend </t>
  </si>
  <si>
    <t>2. Groei inwoners</t>
  </si>
  <si>
    <t>3. Inwonergevoeligheid AU</t>
  </si>
  <si>
    <t>4. Groei bedrijfsvestigingen</t>
  </si>
  <si>
    <t>6. Inwoners 31 december 2016</t>
  </si>
  <si>
    <t>8. Bedrijfsvestigingen 2016</t>
  </si>
  <si>
    <t>9. Bedrijfsvestigingen 2015</t>
  </si>
  <si>
    <t>10. Bedrijfsvestigingen 2014</t>
  </si>
  <si>
    <t>11. Bedrijfsvestigingen 2013</t>
  </si>
  <si>
    <t>12. Netto schuld 31-12-2011</t>
  </si>
  <si>
    <t>Gemeente bevolkingsprognose</t>
  </si>
  <si>
    <t>6. Waarde woningen</t>
  </si>
  <si>
    <t>Ratio's exploitatie</t>
  </si>
  <si>
    <t xml:space="preserve">Eigen bijdragen WMO &amp; Jeugd </t>
  </si>
  <si>
    <t xml:space="preserve">Bestuur, burgerzaken, openbare orde &amp; veilgheid </t>
  </si>
  <si>
    <t>Groei uitgaven is gelijk aan 0,8 * inflatie &amp; 0,2 * loonstijging &amp; groei inwoners</t>
  </si>
  <si>
    <t>Bedrijvenloket, economische promotie</t>
  </si>
  <si>
    <t xml:space="preserve">Overhead, treasury (geen loonkst. en rente) </t>
  </si>
  <si>
    <t>Economische ontwikkeling, fysieke bedrijfsinfrastructuur</t>
  </si>
  <si>
    <t>Openbaar groen, recreatie, begraafplaatsen, recreatieve havens</t>
  </si>
  <si>
    <t>Musea, cultureel erfgoed, media, cultuurpresentatie</t>
  </si>
  <si>
    <t>Onderwijsgebouwen, sportaccomodaties</t>
  </si>
  <si>
    <t>Parkeren</t>
  </si>
  <si>
    <t>Vennootschapsbelasting</t>
  </si>
  <si>
    <t>Economische havens &amp; waterwegen</t>
  </si>
  <si>
    <t xml:space="preserve">Verkeer &amp; vervoer </t>
  </si>
  <si>
    <t>Openbaar vervoer</t>
  </si>
  <si>
    <t>Volksgezondheid</t>
  </si>
  <si>
    <t>Crisis beheer en brandweer</t>
  </si>
  <si>
    <t>Beheer overige gebouwen</t>
  </si>
  <si>
    <t xml:space="preserve">Netto opbrengst 6% </t>
  </si>
  <si>
    <t>Correctie 6%</t>
  </si>
  <si>
    <t>Correctie grondopbrengst bij krimp inwonertal</t>
  </si>
  <si>
    <t xml:space="preserve">Inflatie CPI </t>
  </si>
  <si>
    <t xml:space="preserve">Trendmatige economische groei </t>
  </si>
  <si>
    <t>Totaal ombuigingen</t>
  </si>
  <si>
    <t>Meijerijstad</t>
  </si>
  <si>
    <t>Decentralisatie uitkeringen</t>
  </si>
  <si>
    <t xml:space="preserve">Uitkeringen bijstand </t>
  </si>
  <si>
    <t>Sociale werkvoorziening</t>
  </si>
  <si>
    <t>Loonkostensubsidies participatie</t>
  </si>
  <si>
    <t>WMO begeleiding</t>
  </si>
  <si>
    <t>Jeugdzorg regulier</t>
  </si>
  <si>
    <t>Jeugd begeleid wonen / specialistische zorg</t>
  </si>
  <si>
    <t>Ruimtelijke ordening, wonen en bouwen, milieubeheer</t>
  </si>
  <si>
    <t>Openbaar onderwijs</t>
  </si>
  <si>
    <t>Onderwijsbeleid</t>
  </si>
  <si>
    <t>Afvalverwijdering</t>
  </si>
  <si>
    <t>Riolering</t>
  </si>
  <si>
    <t>Samenkracht en burgerparticipatie, wijkteams, sportbeleid</t>
  </si>
  <si>
    <t>EMU saldo 2018 (rood = EMU-tekort)</t>
  </si>
  <si>
    <t>Investering 2019</t>
  </si>
  <si>
    <t>Investering 2026</t>
  </si>
  <si>
    <t>Opbrengst verkoop 2026</t>
  </si>
  <si>
    <t>Quickratio</t>
  </si>
  <si>
    <t>0. Provincie</t>
  </si>
  <si>
    <t>4. Sociaal domein</t>
  </si>
  <si>
    <t>5. SD Jeugd</t>
  </si>
  <si>
    <t>9. SD WMO ov.</t>
  </si>
  <si>
    <t>10. Begeleid wonen</t>
  </si>
  <si>
    <t>11. SD Participatie</t>
  </si>
  <si>
    <t>12. Reintegratie klasiek</t>
  </si>
  <si>
    <t>15. WSW</t>
  </si>
  <si>
    <t>18. Buig</t>
  </si>
  <si>
    <t>19. BBZ</t>
  </si>
  <si>
    <t>26. Overige belastingen</t>
  </si>
  <si>
    <t>Vorderingen &amp; debiteuren</t>
  </si>
  <si>
    <t xml:space="preserve">Kortlopende uitzettingen &amp; liquide middelen </t>
  </si>
  <si>
    <t>Kortlopende uitzettingen &amp; liquide middelen</t>
  </si>
  <si>
    <t>Kortlopende leningen en rek.courant</t>
  </si>
  <si>
    <t>Re-integratie klassiek</t>
  </si>
  <si>
    <t>Begeleiding nieuw, wajong</t>
  </si>
  <si>
    <t>WSW-oud</t>
  </si>
  <si>
    <t>Jeugd exclusief voogdij 18+</t>
  </si>
  <si>
    <t>WMO oud HH</t>
  </si>
  <si>
    <t>Begeleid wonen</t>
  </si>
  <si>
    <t>Voogdij jeugd 18+</t>
  </si>
  <si>
    <t>WMO zorg exclusief begeleid wonen</t>
  </si>
  <si>
    <t>Sociaal deelfonds + WMO HH</t>
  </si>
  <si>
    <t>Resultaat exploitatie in % van baten</t>
  </si>
  <si>
    <t>Bruto rentedruk in % van baten</t>
  </si>
  <si>
    <t>Onbenutte belastingcapaciteit in % baten</t>
  </si>
  <si>
    <t>Primair surplus in % baten</t>
  </si>
  <si>
    <t>Ombuigingsrelevante lopende uitg. in % van lasten</t>
  </si>
  <si>
    <t>2. Tarief woningen in %</t>
  </si>
  <si>
    <t>3. Tarief niet-woningen eigenaren in %</t>
  </si>
  <si>
    <t>4. Tarief niet-woningen gebruikers in %</t>
  </si>
  <si>
    <t>5. Gem. OZB / woning</t>
  </si>
  <si>
    <t>7. Waarde niet-woningen</t>
  </si>
  <si>
    <t>8. Opbrengst OZB woningen</t>
  </si>
  <si>
    <t>9. Opbrengst OZB niet-woningen</t>
  </si>
  <si>
    <t>11. Onbenutte belastingcapaciteit</t>
  </si>
  <si>
    <t>12. Onbenutte belastingcapaciteit OZB</t>
  </si>
  <si>
    <t>Bedrijfsvestigingen 2017</t>
  </si>
  <si>
    <t>Netto schuld 31-12-2011</t>
  </si>
  <si>
    <t>Bedrijfsvestigingen 2013</t>
  </si>
  <si>
    <t>Bedrijfsvestigingen 2014</t>
  </si>
  <si>
    <t>Bedrijfsvestigingen 2015</t>
  </si>
  <si>
    <t>Bedrijfsvestigingen 2016</t>
  </si>
  <si>
    <t>Kortgeldratio</t>
  </si>
  <si>
    <t>Effectieve netto schuldquote</t>
  </si>
  <si>
    <t>Netto investeringsquote</t>
  </si>
  <si>
    <t>2. Baten bouwgrond gem.</t>
  </si>
  <si>
    <t>3. Lasten bouwgrond gem.</t>
  </si>
  <si>
    <t>Prijspeil binnenlands bruto product</t>
  </si>
  <si>
    <t>Exploitatieresultaat</t>
  </si>
  <si>
    <t xml:space="preserve">Prijspeil beloning werknemers </t>
  </si>
  <si>
    <t>Prijspeil overheidsconsumptie</t>
  </si>
  <si>
    <t>2018 - 2021</t>
  </si>
  <si>
    <t>Begroting 2017</t>
  </si>
  <si>
    <t>Aandeel rijksoverdachten van inkomsten</t>
  </si>
  <si>
    <t>Inkomsten val 12% rijksoverdrachten</t>
  </si>
  <si>
    <t>Inkomsten val 2% totale inkomsten</t>
  </si>
  <si>
    <t>Totale val aan inkomsten</t>
  </si>
  <si>
    <t>Stijging uitgaven bijstand</t>
  </si>
  <si>
    <t>Stijging lopende consumptieve uitgaven</t>
  </si>
  <si>
    <t>Aandeel bijstand van inkomsten</t>
  </si>
  <si>
    <t>Totale stijging uitgaven</t>
  </si>
  <si>
    <t>Prijspeil bruto binnenlandsproduct</t>
  </si>
  <si>
    <t>Groei uitgaven is gelijk aan groei overheidsconsumptie &amp; groei inwoners</t>
  </si>
  <si>
    <t>Groei uitgaven is gelijk aan inflatie &amp; economische groei &amp; groei inwoners</t>
  </si>
  <si>
    <t xml:space="preserve">Groei uitgaven is gelijk aan inflatie &amp; loonstijging &amp; ec.groei &amp; groei inwoners </t>
  </si>
  <si>
    <t xml:space="preserve">Groei inkomsten is gelijk aan prijspeil BBP &amp; economische groei &amp; groei inwonertal  </t>
  </si>
  <si>
    <t>Groei inkomsten is gelijk aan inflatie &amp; economische groei &amp; groei inwoners</t>
  </si>
  <si>
    <t>Groei inkomsten is gelijk aan prijspeil overheidsconsumptie &amp; groei inwoners</t>
  </si>
  <si>
    <t xml:space="preserve">Groei inkomsten is gelijk aan prijspeil overheidsconsumptie &amp; groei inwoners </t>
  </si>
  <si>
    <t>Groei inkomsten is gelijk aan inflatie &amp; loonstijging &amp; economische groei &amp; groei inwoners</t>
  </si>
  <si>
    <t>Jan van der Lei, mei 2018</t>
  </si>
  <si>
    <t>Ombuigingspercentage per jaar vanaf 2019 t/m 2023</t>
  </si>
  <si>
    <t>Ombuiging investeringen excl. bouwgrondexpl. vanaf 2019</t>
  </si>
  <si>
    <t>Afschrijving leningen derden 2019</t>
  </si>
  <si>
    <t xml:space="preserve">Afschrijving leningen verbonden partijen 2019 </t>
  </si>
  <si>
    <t>Val opbrengst bouwgrondexpl. 2019 in %</t>
  </si>
  <si>
    <t>Val opbrengst bouwgrondexpl. vanaf 2020 in %</t>
  </si>
  <si>
    <t>Rentestijging 2019 t.o.v. begin 2018</t>
  </si>
  <si>
    <t>Rentestijging 2020 t.o.v. begin 2018</t>
  </si>
  <si>
    <t>Rentestijging 2021 t.o.v. begin 2018</t>
  </si>
  <si>
    <t>Val baten 2019 in %</t>
  </si>
  <si>
    <t>Val baten 2020 in %</t>
  </si>
  <si>
    <t>Stijging lasten 2019 in %</t>
  </si>
  <si>
    <t xml:space="preserve">Stijging lasten 2020 in % </t>
  </si>
  <si>
    <t>10. Opbrengst OZB redelijk tarief 0,1952%</t>
  </si>
  <si>
    <t>Midden-Groningen</t>
  </si>
  <si>
    <t>Waadhoeke</t>
  </si>
  <si>
    <t>Westerwolde</t>
  </si>
  <si>
    <t>Stijging lasten 2020 in %</t>
  </si>
  <si>
    <t>2. Uitkering gemeentefonds</t>
  </si>
  <si>
    <t>3. Algemene Uitkering</t>
  </si>
  <si>
    <t>6. SD Jeugd ov.</t>
  </si>
  <si>
    <t>7. 18+ voogdij</t>
  </si>
  <si>
    <t>8. SD WMO zorg</t>
  </si>
  <si>
    <t>13. Nieuw wajong</t>
  </si>
  <si>
    <t>14. Nieuw begeleiding</t>
  </si>
  <si>
    <t>16. WMO HH</t>
  </si>
  <si>
    <t>17. Decentralisatie uitkeringen</t>
  </si>
  <si>
    <t>20. Onderwijsachterstanden</t>
  </si>
  <si>
    <t>21. Onroerendezaakbelasting woningen</t>
  </si>
  <si>
    <t>22. Onroerendezaakbelasting niet-woningen</t>
  </si>
  <si>
    <t>23. Parkeerheffingen</t>
  </si>
  <si>
    <t>24. Precariobelasting</t>
  </si>
  <si>
    <t>25. Toeristenbelasting</t>
  </si>
  <si>
    <t>27. Rioolheffing</t>
  </si>
  <si>
    <t>28. Reinigingsrechten en afvalstoffenheffing</t>
  </si>
  <si>
    <t>29. Secretarieleges burgerzaken</t>
  </si>
  <si>
    <t>30. Begraafplaatsrechten</t>
  </si>
  <si>
    <t>31. Leges wonen en bouwen</t>
  </si>
  <si>
    <t>32. Overige leges</t>
  </si>
  <si>
    <t>.</t>
  </si>
  <si>
    <t>5. Inwoners 31 december 2017</t>
  </si>
  <si>
    <t>4. Afschrijvingen: 143,36 * inwoners</t>
  </si>
  <si>
    <t>5. Investeringen</t>
  </si>
  <si>
    <t>Baten bouwgrond 2010</t>
  </si>
  <si>
    <t>Lasten bouwgrond 2010</t>
  </si>
  <si>
    <t>Baten bouwgrond 2011</t>
  </si>
  <si>
    <t>Lasten bouwgrond 2011</t>
  </si>
  <si>
    <t>Baten bouwgrond 2012</t>
  </si>
  <si>
    <t>Lasten bouwgrond 2012</t>
  </si>
  <si>
    <t>Baten bouwgrond 2013</t>
  </si>
  <si>
    <t>Lasten bouwgrond 2013</t>
  </si>
  <si>
    <t>Baten bouwgrond 2014</t>
  </si>
  <si>
    <t>Lasten bouwgrond 2014</t>
  </si>
  <si>
    <t>Baten bouwgrond 2015</t>
  </si>
  <si>
    <t>Lasten bouwgrond 2015</t>
  </si>
  <si>
    <t>Baten bouwgrond 2016</t>
  </si>
  <si>
    <t>Lasten bouwgrond 2016</t>
  </si>
  <si>
    <t>Inwoners 31 dec 2016</t>
  </si>
  <si>
    <t>Inwoners 31 december 2017</t>
  </si>
  <si>
    <t>Afschrijvingen immateriële activa 2018 (incl.bijdr.activa derden)</t>
  </si>
  <si>
    <t>Afschrijvingen materiële activa 2018</t>
  </si>
  <si>
    <t>Jaarrek. 2017</t>
  </si>
  <si>
    <t>Begroting 2018</t>
  </si>
  <si>
    <t>Beginbalans 1 januari 2018</t>
  </si>
  <si>
    <t>Investeringen per inwoner 2018</t>
  </si>
  <si>
    <t>Investering 2020</t>
  </si>
  <si>
    <t xml:space="preserve">Investering 2021 </t>
  </si>
  <si>
    <t>Investering 2027</t>
  </si>
  <si>
    <t>Opbrengst verkoop 2027</t>
  </si>
  <si>
    <t>Val opbrengst grondexpl. 2019</t>
  </si>
  <si>
    <t>Val opbrengst grondexpl. vanaf 2020</t>
  </si>
  <si>
    <t>Gemiddeld rentepercentage 2018</t>
  </si>
  <si>
    <t>Aflossing 2019</t>
  </si>
  <si>
    <t xml:space="preserve">Gemiddeld rentepercentage restant 2019 </t>
  </si>
  <si>
    <t xml:space="preserve">Aflossing 2020 </t>
  </si>
  <si>
    <t>Gemiddeld rentepercentage restant 2021</t>
  </si>
  <si>
    <t>Aflossing 2023</t>
  </si>
  <si>
    <t xml:space="preserve">Aflossing 2024 </t>
  </si>
  <si>
    <t xml:space="preserve">Gemiddeld rentepercentage restant 2024 </t>
  </si>
  <si>
    <t>Aflossing 2027</t>
  </si>
  <si>
    <t>Gemiddeld rentepercentage restant 2027</t>
  </si>
  <si>
    <t xml:space="preserve">Gemiddeld rentepercentage 2019 </t>
  </si>
  <si>
    <t>Gemiddeld rentepercentage 2020</t>
  </si>
  <si>
    <t>Gemiddeld rentepercentage restant 2023</t>
  </si>
  <si>
    <t>Netto lasten per inwoner</t>
  </si>
  <si>
    <r>
      <t>Financi</t>
    </r>
    <r>
      <rPr>
        <b/>
        <sz val="10"/>
        <color theme="1"/>
        <rFont val="Calibri"/>
        <family val="2"/>
      </rPr>
      <t>ë</t>
    </r>
    <r>
      <rPr>
        <b/>
        <i/>
        <sz val="10"/>
        <color theme="1"/>
        <rFont val="Arial"/>
        <family val="2"/>
      </rPr>
      <t>le conditie index</t>
    </r>
  </si>
  <si>
    <t xml:space="preserve">Ombuigingsrelevante netto lasten </t>
  </si>
  <si>
    <t>2. Netto investeringsquote 2011-2015</t>
  </si>
  <si>
    <t>3. Kortgeldratio</t>
  </si>
  <si>
    <t>4. Netto schuldquote</t>
  </si>
  <si>
    <t>5. Uitleenquote</t>
  </si>
  <si>
    <t>6. Voorraadquote</t>
  </si>
  <si>
    <t>7. Effectieve netto schuldquote</t>
  </si>
  <si>
    <t>8. Schuldratio</t>
  </si>
  <si>
    <t>10. Exploitatieresultaat 2016</t>
  </si>
  <si>
    <t>12. Afhankelijkheidsratio</t>
  </si>
  <si>
    <t>13. Onbenutte belastingcapaciteit</t>
  </si>
  <si>
    <t xml:space="preserve">14. Ombuigingsrelevante netto lasten  per inw. </t>
  </si>
  <si>
    <t>11. Netto investeringsquote 2013-2016</t>
  </si>
  <si>
    <t>9. Solvabiliteitsratio</t>
  </si>
  <si>
    <t>Slechtweer</t>
  </si>
  <si>
    <t>15. Quickratio</t>
  </si>
  <si>
    <t>combinatie schuld en tekort</t>
  </si>
  <si>
    <t>Houdbaarheidsquote (weerbaarheid)</t>
  </si>
  <si>
    <t>Inwoners eind 2017</t>
  </si>
  <si>
    <t>Groei inwoners Nederland per jaar 2018-2027</t>
  </si>
  <si>
    <t xml:space="preserve">Groei inwoners gemeente per jaar 2018-2027 </t>
  </si>
  <si>
    <t xml:space="preserve">Totaal ombuigingen 5 jaar in constante prijzen </t>
  </si>
  <si>
    <t>Vorderingen en debiteuren</t>
  </si>
  <si>
    <t>Kortlopende uitzettingen en liquide middelen</t>
  </si>
  <si>
    <t>Kortlopende schuld en RC krediet</t>
  </si>
  <si>
    <t>Kortlopende leningen &amp; rek.courant krediet</t>
  </si>
  <si>
    <t>3. Klasse structuur</t>
  </si>
  <si>
    <t>33. Inkomsten voor mutatie reserves 2017</t>
  </si>
  <si>
    <t>34. Uitgaven voor mutatie reserves 2017</t>
  </si>
  <si>
    <t xml:space="preserve">Klasse gemeente soc.structuur &amp; centr.functie </t>
  </si>
  <si>
    <t>Voorraadquote (inclusief NIEG)</t>
  </si>
  <si>
    <t>Prov.</t>
  </si>
  <si>
    <t>Midden Grioningen</t>
  </si>
  <si>
    <t>Immateriële vaste activa 2014</t>
  </si>
  <si>
    <t>Totaal materiële vaste activa 2014</t>
  </si>
  <si>
    <t>Kapitaalverstrekkingen 2014</t>
  </si>
  <si>
    <t xml:space="preserve">6. Activa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</si>
</sst>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 #,##0;&quot;€&quot;\ \-#,##0"/>
    <numFmt numFmtId="6" formatCode="&quot;€&quot;\ #,##0;[Red]&quot;€&quot;\ \-#,##0"/>
    <numFmt numFmtId="42" formatCode="_ &quot;€&quot;\ * #,##0_ ;_ &quot;€&quot;\ * \-#,##0_ ;_ &quot;€&quot;\ * &quot;-&quot;_ ;_ @_ "/>
    <numFmt numFmtId="44" formatCode="_ &quot;€&quot;\ * #,##0.00_ ;_ &quot;€&quot;\ * \-#,##0.00_ ;_ &quot;€&quot;\ * &quot;-&quot;??_ ;_ @_ "/>
    <numFmt numFmtId="43" formatCode="_ * #,##0.00_ ;_ * \-#,##0.00_ ;_ * &quot;-&quot;??_ ;_ @_ "/>
    <numFmt numFmtId="164" formatCode="_-&quot;€&quot;\ * #,##0_-;_-&quot;€&quot;\ * #,##0\-;_-&quot;€&quot;\ * &quot;-&quot;_-;_-@_-"/>
    <numFmt numFmtId="165" formatCode="0.0%"/>
    <numFmt numFmtId="166" formatCode="_-&quot;€&quot;\ * #,##0.0_-;_-&quot;€&quot;\ * #,##0.0\-;_-&quot;€&quot;\ * &quot;-&quot;?_-;_-@_-"/>
    <numFmt numFmtId="167" formatCode="&quot;€&quot;\ #,##0"/>
    <numFmt numFmtId="168" formatCode="&quot;€&quot;\ #,##0;[Red]&quot;€&quot;\ #,##0"/>
    <numFmt numFmtId="169" formatCode="#,##0_ ;[Red]\-#,##0\ "/>
    <numFmt numFmtId="170" formatCode="0_ ;[Red]\-0\ "/>
    <numFmt numFmtId="171" formatCode="0.0"/>
    <numFmt numFmtId="172" formatCode="0.0000%"/>
    <numFmt numFmtId="173" formatCode="0.000000%"/>
    <numFmt numFmtId="174" formatCode="0.0000"/>
    <numFmt numFmtId="175" formatCode="0.000"/>
    <numFmt numFmtId="176" formatCode="#,##0_ ;\-#,##0\ "/>
  </numFmts>
  <fonts count="25" x14ac:knownFonts="1">
    <font>
      <sz val="10"/>
      <color theme="1"/>
      <name val="Arial"/>
      <family val="2"/>
    </font>
    <font>
      <sz val="10"/>
      <name val="Arial"/>
      <family val="2"/>
    </font>
    <font>
      <b/>
      <sz val="8"/>
      <name val="Arial"/>
      <family val="2"/>
    </font>
    <font>
      <u val="singleAccounting"/>
      <sz val="10"/>
      <color indexed="8"/>
      <name val="Arial"/>
      <family val="2"/>
    </font>
    <font>
      <b/>
      <sz val="9"/>
      <color indexed="81"/>
      <name val="Tahoma"/>
      <family val="2"/>
    </font>
    <font>
      <b/>
      <sz val="10"/>
      <color theme="1"/>
      <name val="Arial"/>
      <family val="2"/>
    </font>
    <font>
      <sz val="10"/>
      <color rgb="FFFF0000"/>
      <name val="Arial"/>
      <family val="2"/>
    </font>
    <font>
      <sz val="10"/>
      <color theme="1"/>
      <name val="Calibri"/>
      <family val="2"/>
    </font>
    <font>
      <u val="singleAccounting"/>
      <sz val="10"/>
      <color theme="1"/>
      <name val="Arial"/>
      <family val="2"/>
    </font>
    <font>
      <sz val="8"/>
      <name val="Arial"/>
      <family val="2"/>
    </font>
    <font>
      <b/>
      <sz val="10"/>
      <name val="Arial"/>
      <family val="2"/>
    </font>
    <font>
      <sz val="11"/>
      <color indexed="8"/>
      <name val="Calibri"/>
      <family val="2"/>
      <scheme val="minor"/>
    </font>
    <font>
      <sz val="9"/>
      <color indexed="81"/>
      <name val="Tahoma"/>
      <family val="2"/>
    </font>
    <font>
      <sz val="9"/>
      <color theme="1"/>
      <name val="Arial"/>
      <family val="2"/>
    </font>
    <font>
      <u/>
      <sz val="10"/>
      <color theme="1"/>
      <name val="Arial"/>
      <family val="2"/>
    </font>
    <font>
      <b/>
      <i/>
      <sz val="10"/>
      <color theme="1"/>
      <name val="Arial"/>
      <family val="2"/>
    </font>
    <font>
      <sz val="10"/>
      <color theme="1"/>
      <name val="Arial"/>
      <family val="2"/>
    </font>
    <font>
      <b/>
      <u/>
      <sz val="10"/>
      <color theme="1"/>
      <name val="Arial"/>
      <family val="2"/>
    </font>
    <font>
      <b/>
      <sz val="8"/>
      <color rgb="FFFF0000"/>
      <name val="Arial"/>
      <family val="2"/>
    </font>
    <font>
      <b/>
      <sz val="10"/>
      <color theme="1"/>
      <name val="Calibri"/>
      <family val="2"/>
    </font>
    <font>
      <sz val="11"/>
      <color rgb="FFFF0000"/>
      <name val="Calibri"/>
      <family val="2"/>
      <scheme val="minor"/>
    </font>
    <font>
      <sz val="10"/>
      <color theme="4" tint="0.79998168889431442"/>
      <name val="Arial"/>
      <family val="2"/>
    </font>
    <font>
      <sz val="10"/>
      <color theme="3" tint="0.79998168889431442"/>
      <name val="Arial"/>
      <family val="2"/>
    </font>
    <font>
      <sz val="10"/>
      <color theme="5" tint="0.79998168889431442"/>
      <name val="Arial"/>
      <family val="2"/>
    </font>
    <font>
      <b/>
      <sz val="10"/>
      <color theme="4" tint="0.79998168889431442"/>
      <name val="Arial"/>
      <family val="2"/>
    </font>
  </fonts>
  <fills count="7">
    <fill>
      <patternFill patternType="none"/>
    </fill>
    <fill>
      <patternFill patternType="gray125"/>
    </fill>
    <fill>
      <patternFill patternType="solid">
        <fgColor theme="5" tint="0.79998168889431442"/>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6337778862885"/>
        <bgColor indexed="64"/>
      </patternFill>
    </fill>
    <fill>
      <patternFill patternType="solid">
        <fgColor theme="0"/>
        <bgColor indexed="64"/>
      </patternFill>
    </fill>
  </fills>
  <borders count="16">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2" fillId="0" borderId="0" applyNumberFormat="0" applyFill="0" applyBorder="0" applyProtection="0"/>
    <xf numFmtId="0" fontId="11" fillId="0" borderId="0"/>
    <xf numFmtId="43" fontId="16" fillId="0" borderId="0" applyFont="0" applyFill="0" applyBorder="0" applyAlignment="0" applyProtection="0"/>
  </cellStyleXfs>
  <cellXfs count="295">
    <xf numFmtId="0" fontId="0" fillId="0" borderId="0" xfId="0"/>
    <xf numFmtId="0" fontId="5" fillId="3" borderId="0" xfId="0" applyFont="1" applyFill="1" applyProtection="1"/>
    <xf numFmtId="0" fontId="5" fillId="3" borderId="0" xfId="0" applyFont="1" applyFill="1" applyProtection="1">
      <protection hidden="1"/>
    </xf>
    <xf numFmtId="0" fontId="0" fillId="3" borderId="0" xfId="0" applyFill="1" applyProtection="1">
      <protection hidden="1"/>
    </xf>
    <xf numFmtId="165" fontId="0" fillId="3" borderId="0" xfId="0" applyNumberFormat="1" applyFill="1" applyProtection="1"/>
    <xf numFmtId="0" fontId="0" fillId="3" borderId="0" xfId="0" applyFill="1" applyProtection="1"/>
    <xf numFmtId="165" fontId="0" fillId="3" borderId="0" xfId="0" applyNumberFormat="1" applyFont="1" applyFill="1" applyProtection="1"/>
    <xf numFmtId="9" fontId="0" fillId="3" borderId="0" xfId="0" applyNumberFormat="1" applyFill="1" applyProtection="1">
      <protection hidden="1"/>
    </xf>
    <xf numFmtId="10" fontId="0" fillId="3" borderId="0" xfId="0" applyNumberFormat="1" applyFill="1" applyProtection="1">
      <protection hidden="1"/>
    </xf>
    <xf numFmtId="164" fontId="0" fillId="3" borderId="0" xfId="0" applyNumberFormat="1" applyFill="1" applyProtection="1"/>
    <xf numFmtId="9" fontId="0" fillId="3" borderId="0" xfId="0" applyNumberFormat="1" applyFill="1" applyProtection="1"/>
    <xf numFmtId="0" fontId="0" fillId="3" borderId="0" xfId="0" applyFont="1" applyFill="1" applyProtection="1"/>
    <xf numFmtId="0" fontId="0" fillId="0" borderId="0" xfId="0" applyFill="1" applyProtection="1">
      <protection locked="0"/>
    </xf>
    <xf numFmtId="164" fontId="0" fillId="0" borderId="0" xfId="0" applyNumberFormat="1" applyFill="1" applyProtection="1">
      <protection locked="0"/>
    </xf>
    <xf numFmtId="164" fontId="0" fillId="3" borderId="0" xfId="0" applyNumberFormat="1" applyFill="1" applyProtection="1">
      <protection hidden="1"/>
    </xf>
    <xf numFmtId="0" fontId="0" fillId="3" borderId="0" xfId="0" applyFill="1" applyAlignment="1" applyProtection="1">
      <alignment horizontal="right"/>
      <protection hidden="1"/>
    </xf>
    <xf numFmtId="0" fontId="0" fillId="3" borderId="0" xfId="0" applyFill="1"/>
    <xf numFmtId="14" fontId="0" fillId="3" borderId="0" xfId="0" applyNumberFormat="1" applyFill="1"/>
    <xf numFmtId="164" fontId="0" fillId="3" borderId="0" xfId="0" applyNumberFormat="1" applyFill="1"/>
    <xf numFmtId="9" fontId="0" fillId="3" borderId="0" xfId="0" applyNumberFormat="1" applyFill="1"/>
    <xf numFmtId="165" fontId="0" fillId="3" borderId="0" xfId="0" applyNumberFormat="1" applyFill="1"/>
    <xf numFmtId="165" fontId="0" fillId="3" borderId="0" xfId="0" applyNumberFormat="1" applyFill="1" applyProtection="1">
      <protection hidden="1"/>
    </xf>
    <xf numFmtId="164" fontId="0" fillId="0" borderId="0" xfId="0" applyNumberFormat="1" applyFont="1" applyFill="1" applyProtection="1">
      <protection locked="0"/>
    </xf>
    <xf numFmtId="6" fontId="0" fillId="3" borderId="0" xfId="0" applyNumberFormat="1" applyFill="1" applyProtection="1">
      <protection hidden="1"/>
    </xf>
    <xf numFmtId="6" fontId="1" fillId="3" borderId="0" xfId="0" applyNumberFormat="1" applyFont="1" applyFill="1" applyProtection="1">
      <protection hidden="1"/>
    </xf>
    <xf numFmtId="0" fontId="7" fillId="3" borderId="0" xfId="0" applyFont="1" applyFill="1"/>
    <xf numFmtId="10" fontId="0" fillId="3" borderId="0" xfId="0" applyNumberFormat="1" applyFill="1"/>
    <xf numFmtId="164" fontId="8" fillId="3" borderId="0" xfId="0" applyNumberFormat="1" applyFont="1" applyFill="1" applyProtection="1"/>
    <xf numFmtId="166" fontId="0" fillId="3" borderId="0" xfId="0" applyNumberFormat="1" applyFill="1" applyProtection="1">
      <protection hidden="1"/>
    </xf>
    <xf numFmtId="3" fontId="0" fillId="3" borderId="0" xfId="0" applyNumberFormat="1" applyFill="1" applyProtection="1">
      <protection hidden="1"/>
    </xf>
    <xf numFmtId="5" fontId="0" fillId="3" borderId="0" xfId="0" applyNumberFormat="1" applyFill="1" applyProtection="1">
      <protection hidden="1"/>
    </xf>
    <xf numFmtId="3" fontId="0" fillId="3" borderId="0" xfId="0" applyNumberFormat="1" applyFill="1"/>
    <xf numFmtId="0" fontId="0" fillId="3" borderId="0" xfId="0" applyFill="1" applyAlignment="1" applyProtection="1">
      <alignment vertical="top"/>
      <protection hidden="1"/>
    </xf>
    <xf numFmtId="6" fontId="0" fillId="3" borderId="0" xfId="0" applyNumberFormat="1" applyFill="1" applyAlignment="1" applyProtection="1">
      <alignment vertical="top"/>
      <protection hidden="1"/>
    </xf>
    <xf numFmtId="0" fontId="0" fillId="3" borderId="0" xfId="0" applyFill="1" applyAlignment="1" applyProtection="1">
      <alignment vertical="top"/>
    </xf>
    <xf numFmtId="0" fontId="5" fillId="3" borderId="0" xfId="0" applyFont="1" applyFill="1" applyAlignment="1" applyProtection="1">
      <alignment vertical="top"/>
    </xf>
    <xf numFmtId="165" fontId="0" fillId="3" borderId="0" xfId="0" applyNumberFormat="1" applyFill="1" applyAlignment="1" applyProtection="1">
      <alignment vertical="top"/>
    </xf>
    <xf numFmtId="164" fontId="0" fillId="0" borderId="0" xfId="0" applyNumberFormat="1" applyFont="1" applyFill="1" applyAlignment="1" applyProtection="1">
      <alignment vertical="top"/>
      <protection locked="0"/>
    </xf>
    <xf numFmtId="164" fontId="0" fillId="0" borderId="0" xfId="0" applyNumberFormat="1" applyFill="1" applyAlignment="1" applyProtection="1">
      <alignment vertical="top"/>
      <protection locked="0"/>
    </xf>
    <xf numFmtId="9" fontId="0" fillId="3" borderId="0" xfId="0" applyNumberFormat="1" applyFill="1" applyAlignment="1" applyProtection="1">
      <alignment vertical="top"/>
      <protection hidden="1"/>
    </xf>
    <xf numFmtId="165" fontId="0" fillId="3" borderId="0" xfId="0" applyNumberFormat="1" applyFill="1" applyAlignment="1" applyProtection="1">
      <alignment vertical="top"/>
      <protection hidden="1"/>
    </xf>
    <xf numFmtId="0" fontId="5" fillId="3" borderId="0" xfId="0" applyFont="1" applyFill="1"/>
    <xf numFmtId="10" fontId="0" fillId="3" borderId="0" xfId="0" applyNumberFormat="1" applyFill="1" applyProtection="1"/>
    <xf numFmtId="0" fontId="5" fillId="3" borderId="0" xfId="0" applyFont="1" applyFill="1"/>
    <xf numFmtId="42" fontId="0" fillId="3" borderId="0" xfId="0" applyNumberFormat="1" applyFill="1" applyProtection="1"/>
    <xf numFmtId="42" fontId="6" fillId="3" borderId="0" xfId="0" applyNumberFormat="1" applyFont="1" applyFill="1" applyProtection="1"/>
    <xf numFmtId="42" fontId="0" fillId="3" borderId="0" xfId="0" applyNumberFormat="1" applyFill="1" applyProtection="1">
      <protection hidden="1"/>
    </xf>
    <xf numFmtId="0" fontId="5" fillId="3" borderId="0" xfId="0" applyFont="1" applyFill="1"/>
    <xf numFmtId="0" fontId="5" fillId="3" borderId="0" xfId="0" applyFont="1" applyFill="1"/>
    <xf numFmtId="0" fontId="0" fillId="3" borderId="0" xfId="0" applyFill="1" applyBorder="1"/>
    <xf numFmtId="6" fontId="0" fillId="3" borderId="1" xfId="0" applyNumberFormat="1" applyFill="1" applyBorder="1" applyProtection="1">
      <protection hidden="1"/>
    </xf>
    <xf numFmtId="0" fontId="0" fillId="3" borderId="1" xfId="0" applyFill="1" applyBorder="1" applyProtection="1">
      <protection hidden="1"/>
    </xf>
    <xf numFmtId="165" fontId="0" fillId="0" borderId="3" xfId="0" applyNumberFormat="1" applyFill="1" applyBorder="1" applyProtection="1">
      <protection locked="0"/>
    </xf>
    <xf numFmtId="165" fontId="0" fillId="3" borderId="3" xfId="0" applyNumberFormat="1" applyFill="1" applyBorder="1" applyProtection="1"/>
    <xf numFmtId="164" fontId="0" fillId="3" borderId="3" xfId="0" applyNumberFormat="1" applyFill="1" applyBorder="1" applyAlignment="1" applyProtection="1">
      <alignment horizontal="right"/>
    </xf>
    <xf numFmtId="0" fontId="5" fillId="3" borderId="0" xfId="0" applyFont="1" applyFill="1" applyBorder="1"/>
    <xf numFmtId="10" fontId="0" fillId="3" borderId="0" xfId="0" applyNumberFormat="1" applyFill="1" applyBorder="1" applyProtection="1"/>
    <xf numFmtId="164" fontId="0" fillId="4" borderId="0" xfId="0" applyNumberFormat="1" applyFill="1" applyProtection="1">
      <protection hidden="1"/>
    </xf>
    <xf numFmtId="164" fontId="6" fillId="4" borderId="0" xfId="0" applyNumberFormat="1" applyFont="1" applyFill="1" applyProtection="1">
      <protection hidden="1"/>
    </xf>
    <xf numFmtId="42" fontId="0" fillId="3" borderId="0" xfId="0" applyNumberFormat="1" applyFill="1"/>
    <xf numFmtId="0" fontId="5" fillId="3" borderId="0" xfId="0" applyFont="1" applyFill="1" applyAlignment="1">
      <alignment horizontal="left"/>
    </xf>
    <xf numFmtId="1" fontId="5" fillId="3" borderId="0" xfId="0" applyNumberFormat="1" applyFont="1" applyFill="1"/>
    <xf numFmtId="1" fontId="5" fillId="3" borderId="0" xfId="0" applyNumberFormat="1" applyFont="1" applyFill="1" applyAlignment="1">
      <alignment horizontal="center"/>
    </xf>
    <xf numFmtId="0" fontId="0" fillId="3" borderId="0" xfId="0" applyFill="1" applyAlignment="1">
      <alignment horizontal="center"/>
    </xf>
    <xf numFmtId="0" fontId="5" fillId="3" borderId="0" xfId="0" applyFont="1" applyFill="1" applyAlignment="1">
      <alignment horizontal="center"/>
    </xf>
    <xf numFmtId="0" fontId="5" fillId="3" borderId="0" xfId="0" applyFont="1" applyFill="1" applyAlignment="1"/>
    <xf numFmtId="0" fontId="5" fillId="3" borderId="0" xfId="0" applyFont="1" applyFill="1" applyAlignment="1">
      <alignment horizontal="right"/>
    </xf>
    <xf numFmtId="1" fontId="5" fillId="3" borderId="5" xfId="0" applyNumberFormat="1" applyFont="1" applyFill="1" applyBorder="1" applyAlignment="1">
      <alignment horizontal="right"/>
    </xf>
    <xf numFmtId="0" fontId="5" fillId="3" borderId="5" xfId="0" applyFont="1" applyFill="1" applyBorder="1"/>
    <xf numFmtId="0" fontId="0" fillId="3" borderId="5" xfId="0" applyFill="1" applyBorder="1"/>
    <xf numFmtId="0" fontId="5" fillId="3" borderId="1" xfId="0" applyFont="1" applyFill="1" applyBorder="1" applyAlignment="1">
      <alignment horizontal="right"/>
    </xf>
    <xf numFmtId="1" fontId="5" fillId="3" borderId="2" xfId="0" applyNumberFormat="1" applyFont="1" applyFill="1" applyBorder="1" applyAlignment="1">
      <alignment horizontal="right"/>
    </xf>
    <xf numFmtId="1" fontId="5" fillId="3" borderId="1" xfId="0" applyNumberFormat="1" applyFont="1" applyFill="1" applyBorder="1"/>
    <xf numFmtId="0" fontId="0" fillId="3" borderId="1" xfId="0" applyFill="1" applyBorder="1"/>
    <xf numFmtId="164" fontId="3" fillId="0" borderId="0" xfId="0" applyNumberFormat="1" applyFont="1" applyFill="1" applyProtection="1">
      <protection locked="0"/>
    </xf>
    <xf numFmtId="3" fontId="5" fillId="3" borderId="0" xfId="0" applyNumberFormat="1" applyFont="1" applyFill="1"/>
    <xf numFmtId="3" fontId="5" fillId="3" borderId="5" xfId="0" applyNumberFormat="1" applyFont="1" applyFill="1" applyBorder="1"/>
    <xf numFmtId="3" fontId="5" fillId="3" borderId="1" xfId="0" applyNumberFormat="1" applyFont="1" applyFill="1" applyBorder="1"/>
    <xf numFmtId="0" fontId="5" fillId="0" borderId="6" xfId="0" applyFont="1" applyFill="1" applyBorder="1" applyAlignment="1" applyProtection="1">
      <alignment horizontal="center"/>
      <protection locked="0" hidden="1"/>
    </xf>
    <xf numFmtId="0" fontId="5" fillId="3" borderId="7" xfId="0" applyFont="1" applyFill="1" applyBorder="1" applyAlignment="1" applyProtection="1">
      <alignment horizontal="center"/>
      <protection hidden="1"/>
    </xf>
    <xf numFmtId="0" fontId="5" fillId="0" borderId="0" xfId="0" applyFont="1" applyFill="1" applyBorder="1" applyAlignment="1" applyProtection="1">
      <alignment horizontal="center"/>
      <protection locked="0"/>
    </xf>
    <xf numFmtId="0" fontId="0" fillId="3" borderId="0" xfId="0" applyFill="1" applyAlignment="1">
      <alignment horizontal="right"/>
    </xf>
    <xf numFmtId="3" fontId="5" fillId="3" borderId="1" xfId="0" applyNumberFormat="1" applyFont="1" applyFill="1" applyBorder="1" applyProtection="1"/>
    <xf numFmtId="0" fontId="9" fillId="0" borderId="0" xfId="0" applyFont="1"/>
    <xf numFmtId="42" fontId="0" fillId="0" borderId="0" xfId="0" applyNumberFormat="1" applyFont="1" applyFill="1" applyProtection="1">
      <protection locked="0"/>
    </xf>
    <xf numFmtId="0" fontId="2" fillId="0" borderId="0" xfId="0" applyFont="1"/>
    <xf numFmtId="164" fontId="8" fillId="0" borderId="0" xfId="0" applyNumberFormat="1" applyFont="1" applyFill="1" applyProtection="1">
      <protection locked="0"/>
    </xf>
    <xf numFmtId="10" fontId="0" fillId="3" borderId="0" xfId="0" applyNumberFormat="1" applyFill="1" applyBorder="1" applyAlignment="1" applyProtection="1">
      <alignment horizontal="right"/>
    </xf>
    <xf numFmtId="3" fontId="0" fillId="3" borderId="0" xfId="0" applyNumberFormat="1" applyFill="1" applyBorder="1" applyProtection="1"/>
    <xf numFmtId="10" fontId="9" fillId="0" borderId="0" xfId="0" applyNumberFormat="1" applyFont="1"/>
    <xf numFmtId="42" fontId="6" fillId="2" borderId="0" xfId="0" applyNumberFormat="1" applyFont="1" applyFill="1" applyProtection="1"/>
    <xf numFmtId="0" fontId="5" fillId="0" borderId="0" xfId="0" applyFont="1"/>
    <xf numFmtId="0" fontId="2" fillId="0" borderId="0" xfId="2" applyFont="1"/>
    <xf numFmtId="1" fontId="9" fillId="0" borderId="0" xfId="0" applyNumberFormat="1" applyFont="1"/>
    <xf numFmtId="0" fontId="1" fillId="3" borderId="0" xfId="0" applyFont="1" applyFill="1" applyProtection="1"/>
    <xf numFmtId="0" fontId="1" fillId="3" borderId="0" xfId="0" applyFont="1" applyFill="1" applyProtection="1">
      <protection hidden="1"/>
    </xf>
    <xf numFmtId="0" fontId="1" fillId="3" borderId="0" xfId="0" applyFont="1" applyFill="1"/>
    <xf numFmtId="0" fontId="10" fillId="3" borderId="0" xfId="0" applyFont="1" applyFill="1" applyProtection="1">
      <protection hidden="1"/>
    </xf>
    <xf numFmtId="1" fontId="1" fillId="3" borderId="0" xfId="0" applyNumberFormat="1" applyFont="1" applyFill="1" applyProtection="1">
      <protection hidden="1"/>
    </xf>
    <xf numFmtId="9" fontId="1" fillId="3" borderId="0" xfId="0" applyNumberFormat="1" applyFont="1" applyFill="1" applyProtection="1">
      <protection hidden="1"/>
    </xf>
    <xf numFmtId="3" fontId="1" fillId="3" borderId="0" xfId="0" applyNumberFormat="1" applyFont="1" applyFill="1" applyProtection="1">
      <protection hidden="1"/>
    </xf>
    <xf numFmtId="1" fontId="0" fillId="3" borderId="3" xfId="0" applyNumberFormat="1" applyFill="1" applyBorder="1" applyProtection="1"/>
    <xf numFmtId="10" fontId="0" fillId="0" borderId="3" xfId="0" applyNumberFormat="1" applyFill="1" applyBorder="1" applyProtection="1">
      <protection locked="0"/>
    </xf>
    <xf numFmtId="165" fontId="9" fillId="0" borderId="0" xfId="0" applyNumberFormat="1" applyFont="1"/>
    <xf numFmtId="0" fontId="9" fillId="0" borderId="0" xfId="0" applyFont="1" applyFill="1"/>
    <xf numFmtId="0" fontId="0" fillId="0" borderId="0" xfId="0" applyFill="1"/>
    <xf numFmtId="165" fontId="9" fillId="0" borderId="0" xfId="0" applyNumberFormat="1" applyFont="1" applyFill="1"/>
    <xf numFmtId="164" fontId="0" fillId="3" borderId="0" xfId="0" applyNumberFormat="1" applyFont="1" applyFill="1" applyProtection="1"/>
    <xf numFmtId="2" fontId="9" fillId="0" borderId="0" xfId="0" applyNumberFormat="1" applyFont="1" applyFill="1"/>
    <xf numFmtId="2" fontId="0" fillId="0" borderId="0" xfId="0" applyNumberFormat="1" applyFont="1" applyFill="1"/>
    <xf numFmtId="169" fontId="1" fillId="3" borderId="0" xfId="0" applyNumberFormat="1" applyFont="1" applyFill="1" applyProtection="1">
      <protection hidden="1"/>
    </xf>
    <xf numFmtId="6" fontId="1" fillId="3" borderId="0" xfId="0" applyNumberFormat="1" applyFont="1" applyFill="1" applyProtection="1"/>
    <xf numFmtId="164" fontId="0" fillId="4" borderId="8" xfId="0" applyNumberFormat="1" applyFill="1" applyBorder="1" applyProtection="1">
      <protection hidden="1"/>
    </xf>
    <xf numFmtId="164" fontId="0" fillId="4" borderId="0" xfId="0" applyNumberFormat="1" applyFill="1" applyBorder="1" applyProtection="1">
      <protection hidden="1"/>
    </xf>
    <xf numFmtId="170" fontId="0" fillId="4" borderId="0" xfId="0" applyNumberFormat="1" applyFill="1" applyBorder="1" applyProtection="1">
      <protection hidden="1"/>
    </xf>
    <xf numFmtId="3" fontId="0" fillId="4" borderId="0" xfId="0" applyNumberFormat="1" applyFill="1" applyBorder="1" applyProtection="1">
      <protection hidden="1"/>
    </xf>
    <xf numFmtId="165" fontId="0" fillId="4" borderId="3" xfId="0" applyNumberFormat="1" applyFill="1" applyBorder="1" applyProtection="1">
      <protection hidden="1"/>
    </xf>
    <xf numFmtId="165" fontId="0" fillId="4" borderId="1" xfId="0" applyNumberFormat="1" applyFill="1" applyBorder="1" applyProtection="1">
      <protection hidden="1"/>
    </xf>
    <xf numFmtId="0" fontId="0" fillId="4" borderId="0" xfId="0" applyFill="1" applyBorder="1" applyProtection="1"/>
    <xf numFmtId="0" fontId="0" fillId="4" borderId="0" xfId="0" applyFill="1" applyBorder="1" applyProtection="1">
      <protection hidden="1"/>
    </xf>
    <xf numFmtId="164" fontId="0" fillId="5" borderId="10" xfId="0" applyNumberFormat="1" applyFill="1" applyBorder="1" applyProtection="1">
      <protection hidden="1"/>
    </xf>
    <xf numFmtId="164" fontId="0" fillId="5" borderId="11" xfId="0" applyNumberFormat="1" applyFill="1" applyBorder="1" applyProtection="1">
      <protection hidden="1"/>
    </xf>
    <xf numFmtId="3" fontId="0" fillId="5" borderId="11" xfId="0" applyNumberFormat="1" applyFill="1" applyBorder="1" applyProtection="1">
      <protection hidden="1"/>
    </xf>
    <xf numFmtId="170" fontId="0" fillId="5" borderId="6" xfId="0" applyNumberFormat="1" applyFill="1" applyBorder="1" applyProtection="1">
      <protection hidden="1"/>
    </xf>
    <xf numFmtId="0" fontId="0" fillId="0" borderId="0" xfId="0" applyFont="1" applyFill="1"/>
    <xf numFmtId="1" fontId="2" fillId="0" borderId="0" xfId="0" applyNumberFormat="1" applyFont="1" applyFill="1"/>
    <xf numFmtId="3" fontId="5" fillId="3" borderId="8" xfId="0" applyNumberFormat="1" applyFont="1" applyFill="1" applyBorder="1"/>
    <xf numFmtId="0" fontId="13" fillId="3" borderId="0" xfId="0" applyFont="1" applyFill="1"/>
    <xf numFmtId="1" fontId="0" fillId="3" borderId="1" xfId="0" applyNumberFormat="1" applyFont="1" applyFill="1" applyBorder="1"/>
    <xf numFmtId="0" fontId="0" fillId="3" borderId="0" xfId="0" applyFont="1" applyFill="1"/>
    <xf numFmtId="1" fontId="5" fillId="3" borderId="2" xfId="0" applyNumberFormat="1" applyFont="1" applyFill="1" applyBorder="1"/>
    <xf numFmtId="3" fontId="0" fillId="0" borderId="0" xfId="0" applyNumberFormat="1" applyFont="1" applyFill="1" applyProtection="1">
      <protection locked="0"/>
    </xf>
    <xf numFmtId="3" fontId="13" fillId="3" borderId="1" xfId="0" applyNumberFormat="1" applyFont="1" applyFill="1" applyBorder="1" applyProtection="1"/>
    <xf numFmtId="0" fontId="0" fillId="3" borderId="12" xfId="0" applyFill="1" applyBorder="1" applyProtection="1">
      <protection hidden="1"/>
    </xf>
    <xf numFmtId="165" fontId="0" fillId="3" borderId="4" xfId="0" applyNumberFormat="1" applyFill="1" applyBorder="1" applyAlignment="1" applyProtection="1">
      <alignment vertical="top"/>
      <protection hidden="1"/>
    </xf>
    <xf numFmtId="0" fontId="0" fillId="3" borderId="0" xfId="0" applyFill="1" applyBorder="1" applyProtection="1">
      <protection hidden="1"/>
    </xf>
    <xf numFmtId="42" fontId="0" fillId="3" borderId="0" xfId="0" applyNumberFormat="1" applyFill="1" applyBorder="1" applyProtection="1"/>
    <xf numFmtId="9" fontId="0" fillId="3" borderId="3" xfId="0" applyNumberFormat="1" applyFill="1" applyBorder="1" applyProtection="1"/>
    <xf numFmtId="166" fontId="0" fillId="3" borderId="0" xfId="0" applyNumberFormat="1" applyFill="1" applyAlignment="1" applyProtection="1">
      <alignment horizontal="left"/>
      <protection hidden="1"/>
    </xf>
    <xf numFmtId="3" fontId="0" fillId="3" borderId="0" xfId="0" applyNumberFormat="1" applyFill="1" applyAlignment="1" applyProtection="1">
      <alignment vertical="top"/>
      <protection hidden="1"/>
    </xf>
    <xf numFmtId="0" fontId="0" fillId="3" borderId="0" xfId="0" applyFill="1" applyAlignment="1" applyProtection="1">
      <alignment vertical="center"/>
    </xf>
    <xf numFmtId="164" fontId="0" fillId="0" borderId="0" xfId="0" applyNumberFormat="1" applyFill="1" applyAlignment="1" applyProtection="1">
      <alignment vertical="center"/>
      <protection locked="0"/>
    </xf>
    <xf numFmtId="0" fontId="0" fillId="3" borderId="0" xfId="0" applyFill="1" applyAlignment="1" applyProtection="1">
      <alignment vertical="center"/>
      <protection hidden="1"/>
    </xf>
    <xf numFmtId="6" fontId="0" fillId="3" borderId="0" xfId="0" applyNumberFormat="1" applyFill="1" applyAlignment="1" applyProtection="1">
      <alignment vertical="center"/>
      <protection hidden="1"/>
    </xf>
    <xf numFmtId="3" fontId="0" fillId="3" borderId="0" xfId="0" applyNumberFormat="1" applyFont="1" applyFill="1" applyProtection="1"/>
    <xf numFmtId="0" fontId="0" fillId="3" borderId="3" xfId="0" applyFill="1" applyBorder="1" applyProtection="1">
      <protection hidden="1"/>
    </xf>
    <xf numFmtId="0" fontId="5" fillId="3" borderId="6" xfId="0" applyFont="1" applyFill="1" applyBorder="1" applyProtection="1">
      <protection hidden="1"/>
    </xf>
    <xf numFmtId="165" fontId="0" fillId="0" borderId="12" xfId="0" applyNumberFormat="1" applyFont="1" applyFill="1" applyBorder="1" applyAlignment="1" applyProtection="1">
      <alignment horizontal="right"/>
      <protection locked="0"/>
    </xf>
    <xf numFmtId="165" fontId="0" fillId="3" borderId="4" xfId="0" applyNumberFormat="1" applyFill="1" applyBorder="1" applyProtection="1">
      <protection hidden="1"/>
    </xf>
    <xf numFmtId="6" fontId="0" fillId="3" borderId="0" xfId="0" applyNumberFormat="1" applyFill="1"/>
    <xf numFmtId="9" fontId="6" fillId="3" borderId="0" xfId="0" applyNumberFormat="1" applyFont="1" applyFill="1" applyProtection="1">
      <protection hidden="1"/>
    </xf>
    <xf numFmtId="9" fontId="0" fillId="0" borderId="3" xfId="0" applyNumberFormat="1" applyFill="1" applyBorder="1" applyProtection="1">
      <protection locked="0"/>
    </xf>
    <xf numFmtId="5" fontId="0" fillId="3" borderId="4" xfId="0" applyNumberFormat="1" applyFill="1" applyBorder="1" applyProtection="1">
      <protection hidden="1"/>
    </xf>
    <xf numFmtId="164" fontId="0" fillId="3" borderId="0" xfId="0" applyNumberFormat="1" applyFill="1" applyBorder="1" applyAlignment="1" applyProtection="1">
      <alignment horizontal="right"/>
    </xf>
    <xf numFmtId="165" fontId="0" fillId="3" borderId="0" xfId="0" applyNumberFormat="1" applyFill="1" applyBorder="1" applyProtection="1">
      <protection hidden="1"/>
    </xf>
    <xf numFmtId="165" fontId="0" fillId="3" borderId="0" xfId="0" applyNumberFormat="1" applyFill="1" applyBorder="1" applyProtection="1"/>
    <xf numFmtId="3" fontId="5" fillId="3" borderId="0" xfId="0" applyNumberFormat="1" applyFont="1" applyFill="1" applyProtection="1">
      <protection hidden="1"/>
    </xf>
    <xf numFmtId="1" fontId="5" fillId="3" borderId="5" xfId="0" applyNumberFormat="1" applyFont="1" applyFill="1" applyBorder="1"/>
    <xf numFmtId="6" fontId="14" fillId="3" borderId="0" xfId="0" applyNumberFormat="1" applyFont="1" applyFill="1" applyProtection="1">
      <protection hidden="1"/>
    </xf>
    <xf numFmtId="6" fontId="0" fillId="3" borderId="0" xfId="0" applyNumberFormat="1" applyFont="1" applyFill="1" applyProtection="1">
      <protection hidden="1"/>
    </xf>
    <xf numFmtId="167" fontId="0" fillId="3" borderId="0" xfId="0" applyNumberFormat="1" applyFill="1" applyAlignment="1" applyProtection="1">
      <alignment vertical="top"/>
      <protection hidden="1"/>
    </xf>
    <xf numFmtId="171" fontId="0" fillId="3" borderId="1" xfId="0" applyNumberFormat="1" applyFill="1" applyBorder="1"/>
    <xf numFmtId="171" fontId="0" fillId="3" borderId="0" xfId="0" applyNumberFormat="1" applyFill="1" applyBorder="1"/>
    <xf numFmtId="3" fontId="0" fillId="0" borderId="0" xfId="0" applyNumberFormat="1"/>
    <xf numFmtId="1" fontId="0" fillId="0" borderId="0" xfId="0" applyNumberFormat="1"/>
    <xf numFmtId="0" fontId="0" fillId="3" borderId="14" xfId="0" applyFill="1" applyBorder="1"/>
    <xf numFmtId="0" fontId="0" fillId="3" borderId="15" xfId="0" applyFill="1" applyBorder="1"/>
    <xf numFmtId="3" fontId="0" fillId="0" borderId="13" xfId="0" applyNumberFormat="1" applyFont="1" applyFill="1" applyBorder="1" applyProtection="1">
      <protection locked="0"/>
    </xf>
    <xf numFmtId="0" fontId="0" fillId="3" borderId="8" xfId="0" applyFill="1" applyBorder="1"/>
    <xf numFmtId="3" fontId="0" fillId="0" borderId="1" xfId="0" applyNumberFormat="1" applyFont="1" applyFill="1" applyBorder="1" applyProtection="1">
      <protection locked="0"/>
    </xf>
    <xf numFmtId="0" fontId="0" fillId="3" borderId="9" xfId="0" applyFill="1" applyBorder="1"/>
    <xf numFmtId="165" fontId="0" fillId="0" borderId="4" xfId="0" applyNumberFormat="1" applyFill="1" applyBorder="1" applyProtection="1">
      <protection locked="0"/>
    </xf>
    <xf numFmtId="3" fontId="0" fillId="3" borderId="0" xfId="0" applyNumberFormat="1" applyFont="1" applyFill="1"/>
    <xf numFmtId="3" fontId="0" fillId="0" borderId="0" xfId="0" applyNumberFormat="1" applyFont="1" applyFill="1" applyBorder="1" applyProtection="1">
      <protection locked="0"/>
    </xf>
    <xf numFmtId="3" fontId="0" fillId="4" borderId="3" xfId="0" applyNumberFormat="1" applyFill="1" applyBorder="1" applyProtection="1">
      <protection hidden="1"/>
    </xf>
    <xf numFmtId="3" fontId="0" fillId="4" borderId="5" xfId="0" applyNumberFormat="1" applyFill="1" applyBorder="1" applyProtection="1">
      <protection hidden="1"/>
    </xf>
    <xf numFmtId="164" fontId="0" fillId="4" borderId="9" xfId="0" applyNumberFormat="1" applyFill="1" applyBorder="1" applyProtection="1">
      <protection hidden="1"/>
    </xf>
    <xf numFmtId="3" fontId="0" fillId="3" borderId="0" xfId="0" applyNumberFormat="1" applyFill="1" applyProtection="1"/>
    <xf numFmtId="5" fontId="1" fillId="3" borderId="0" xfId="0" applyNumberFormat="1" applyFont="1" applyFill="1" applyProtection="1">
      <protection hidden="1"/>
    </xf>
    <xf numFmtId="164" fontId="15" fillId="4" borderId="8" xfId="0" applyNumberFormat="1" applyFont="1" applyFill="1" applyBorder="1" applyProtection="1">
      <protection hidden="1"/>
    </xf>
    <xf numFmtId="167" fontId="0" fillId="3" borderId="0" xfId="0" applyNumberFormat="1" applyFill="1" applyProtection="1">
      <protection hidden="1"/>
    </xf>
    <xf numFmtId="0" fontId="0" fillId="3" borderId="0" xfId="0" applyFont="1" applyFill="1" applyProtection="1">
      <protection hidden="1"/>
    </xf>
    <xf numFmtId="0" fontId="5" fillId="3" borderId="0" xfId="0" applyFont="1" applyFill="1" applyAlignment="1" applyProtection="1">
      <alignment horizontal="left"/>
    </xf>
    <xf numFmtId="9" fontId="0" fillId="3" borderId="0" xfId="0" applyNumberFormat="1" applyFill="1" applyAlignment="1" applyProtection="1">
      <alignment horizontal="right"/>
    </xf>
    <xf numFmtId="5" fontId="0" fillId="3" borderId="0" xfId="0" applyNumberFormat="1" applyFill="1" applyProtection="1"/>
    <xf numFmtId="6" fontId="0" fillId="3" borderId="0" xfId="0" applyNumberFormat="1" applyFill="1" applyProtection="1"/>
    <xf numFmtId="172" fontId="0" fillId="3" borderId="0" xfId="0" applyNumberFormat="1" applyFill="1" applyProtection="1">
      <protection hidden="1"/>
    </xf>
    <xf numFmtId="165" fontId="0" fillId="3" borderId="1" xfId="0" applyNumberFormat="1" applyFill="1" applyBorder="1"/>
    <xf numFmtId="165" fontId="0" fillId="3" borderId="0" xfId="0" applyNumberFormat="1" applyFill="1" applyAlignment="1">
      <alignment horizontal="right"/>
    </xf>
    <xf numFmtId="0" fontId="5" fillId="3" borderId="14" xfId="0" applyFont="1" applyFill="1" applyBorder="1" applyProtection="1">
      <protection hidden="1"/>
    </xf>
    <xf numFmtId="0" fontId="5" fillId="3" borderId="15" xfId="0" applyFont="1" applyFill="1" applyBorder="1" applyProtection="1">
      <protection hidden="1"/>
    </xf>
    <xf numFmtId="42" fontId="0" fillId="3" borderId="13" xfId="0" applyNumberFormat="1" applyFill="1" applyBorder="1" applyProtection="1">
      <protection hidden="1"/>
    </xf>
    <xf numFmtId="0" fontId="5" fillId="3" borderId="8" xfId="0" applyFont="1" applyFill="1" applyBorder="1" applyProtection="1">
      <protection hidden="1"/>
    </xf>
    <xf numFmtId="42" fontId="0" fillId="3" borderId="1" xfId="0" applyNumberFormat="1" applyFill="1" applyBorder="1" applyProtection="1">
      <protection hidden="1"/>
    </xf>
    <xf numFmtId="0" fontId="5" fillId="3" borderId="9" xfId="0" applyFont="1" applyFill="1" applyBorder="1" applyProtection="1">
      <protection hidden="1"/>
    </xf>
    <xf numFmtId="0" fontId="0" fillId="3" borderId="5" xfId="0" applyFill="1" applyBorder="1" applyProtection="1">
      <protection hidden="1"/>
    </xf>
    <xf numFmtId="0" fontId="0" fillId="3" borderId="15" xfId="0" applyFill="1" applyBorder="1" applyProtection="1">
      <protection hidden="1"/>
    </xf>
    <xf numFmtId="164" fontId="0" fillId="3" borderId="13" xfId="0" applyNumberFormat="1" applyFill="1" applyBorder="1" applyProtection="1">
      <protection hidden="1"/>
    </xf>
    <xf numFmtId="164" fontId="0" fillId="3" borderId="1" xfId="0" applyNumberFormat="1" applyFill="1" applyBorder="1" applyProtection="1">
      <protection hidden="1"/>
    </xf>
    <xf numFmtId="42" fontId="0" fillId="3" borderId="2" xfId="0" applyNumberFormat="1" applyFill="1" applyBorder="1" applyProtection="1">
      <protection hidden="1"/>
    </xf>
    <xf numFmtId="0" fontId="0" fillId="3" borderId="0" xfId="0" applyFill="1" applyBorder="1" applyProtection="1"/>
    <xf numFmtId="173" fontId="0" fillId="3" borderId="0" xfId="0" applyNumberFormat="1" applyFill="1" applyProtection="1">
      <protection hidden="1"/>
    </xf>
    <xf numFmtId="0" fontId="2" fillId="0" borderId="0" xfId="2" applyFont="1" applyFill="1"/>
    <xf numFmtId="3" fontId="2" fillId="0" borderId="0" xfId="2" applyNumberFormat="1" applyFont="1" applyFill="1"/>
    <xf numFmtId="165" fontId="0" fillId="4" borderId="4" xfId="0" applyNumberFormat="1" applyFill="1" applyBorder="1" applyProtection="1"/>
    <xf numFmtId="174" fontId="0" fillId="0" borderId="0" xfId="0" applyNumberFormat="1" applyFont="1" applyFill="1"/>
    <xf numFmtId="43" fontId="0" fillId="3" borderId="0" xfId="3" applyFont="1" applyFill="1"/>
    <xf numFmtId="3" fontId="0" fillId="3" borderId="1" xfId="0" applyNumberFormat="1" applyFont="1" applyFill="1" applyBorder="1" applyProtection="1"/>
    <xf numFmtId="0" fontId="17" fillId="3" borderId="0" xfId="0" applyFont="1" applyFill="1"/>
    <xf numFmtId="165" fontId="0" fillId="3" borderId="0" xfId="0" applyNumberFormat="1" applyFill="1" applyAlignment="1" applyProtection="1">
      <alignment horizontal="right"/>
    </xf>
    <xf numFmtId="167" fontId="0" fillId="3" borderId="0" xfId="0" applyNumberFormat="1" applyFill="1"/>
    <xf numFmtId="3" fontId="0" fillId="4" borderId="4" xfId="0" applyNumberFormat="1" applyFill="1" applyBorder="1" applyProtection="1">
      <protection hidden="1"/>
    </xf>
    <xf numFmtId="164" fontId="0" fillId="4" borderId="8" xfId="0" applyNumberFormat="1" applyFont="1" applyFill="1" applyBorder="1" applyProtection="1">
      <protection hidden="1"/>
    </xf>
    <xf numFmtId="42" fontId="0" fillId="3" borderId="3" xfId="0" applyNumberFormat="1" applyFill="1" applyBorder="1" applyProtection="1"/>
    <xf numFmtId="3" fontId="9" fillId="0" borderId="0" xfId="0" applyNumberFormat="1" applyFont="1"/>
    <xf numFmtId="3" fontId="9" fillId="0" borderId="0" xfId="0" applyNumberFormat="1" applyFont="1" applyFill="1"/>
    <xf numFmtId="171" fontId="9" fillId="0" borderId="0" xfId="0" applyNumberFormat="1" applyFont="1"/>
    <xf numFmtId="171" fontId="0" fillId="0" borderId="0" xfId="0" applyNumberFormat="1"/>
    <xf numFmtId="1" fontId="2" fillId="0" borderId="0" xfId="0" applyNumberFormat="1" applyFont="1"/>
    <xf numFmtId="171" fontId="2" fillId="0" borderId="0" xfId="0" applyNumberFormat="1" applyFont="1" applyAlignment="1">
      <alignment horizontal="right"/>
    </xf>
    <xf numFmtId="165" fontId="0" fillId="4" borderId="3" xfId="0" applyNumberFormat="1" applyFill="1" applyBorder="1" applyProtection="1"/>
    <xf numFmtId="0" fontId="0" fillId="4" borderId="14" xfId="0" applyFill="1" applyBorder="1" applyProtection="1">
      <protection hidden="1"/>
    </xf>
    <xf numFmtId="0" fontId="0" fillId="4" borderId="8" xfId="0" applyFill="1" applyBorder="1" applyProtection="1">
      <protection hidden="1"/>
    </xf>
    <xf numFmtId="0" fontId="0" fillId="4" borderId="8" xfId="0" applyFill="1" applyBorder="1" applyAlignment="1" applyProtection="1">
      <alignment vertical="center"/>
      <protection hidden="1"/>
    </xf>
    <xf numFmtId="165" fontId="0" fillId="4" borderId="12" xfId="0" applyNumberFormat="1" applyFill="1" applyBorder="1" applyProtection="1">
      <protection hidden="1"/>
    </xf>
    <xf numFmtId="165" fontId="0" fillId="4" borderId="3" xfId="0" applyNumberFormat="1" applyFill="1" applyBorder="1" applyAlignment="1" applyProtection="1">
      <alignment vertical="center"/>
      <protection hidden="1"/>
    </xf>
    <xf numFmtId="165" fontId="0" fillId="4" borderId="4" xfId="0" applyNumberFormat="1" applyFill="1" applyBorder="1" applyAlignment="1" applyProtection="1">
      <alignment vertical="center"/>
      <protection hidden="1"/>
    </xf>
    <xf numFmtId="0" fontId="5" fillId="4" borderId="10" xfId="0" applyFont="1" applyFill="1" applyBorder="1" applyProtection="1">
      <protection hidden="1"/>
    </xf>
    <xf numFmtId="0" fontId="0" fillId="4" borderId="6" xfId="0" applyFill="1" applyBorder="1" applyProtection="1">
      <protection hidden="1"/>
    </xf>
    <xf numFmtId="0" fontId="0" fillId="3" borderId="0" xfId="0" applyNumberFormat="1" applyFill="1" applyProtection="1"/>
    <xf numFmtId="5" fontId="0" fillId="3" borderId="0" xfId="0" applyNumberFormat="1" applyFill="1"/>
    <xf numFmtId="170" fontId="0" fillId="5" borderId="7" xfId="0" applyNumberFormat="1" applyFill="1" applyBorder="1" applyProtection="1">
      <protection hidden="1"/>
    </xf>
    <xf numFmtId="0" fontId="10" fillId="3" borderId="0" xfId="0" applyFont="1" applyFill="1" applyAlignment="1" applyProtection="1">
      <alignment horizontal="center"/>
    </xf>
    <xf numFmtId="0" fontId="10" fillId="3" borderId="0" xfId="0" applyFont="1" applyFill="1" applyAlignment="1" applyProtection="1">
      <alignment horizontal="center"/>
      <protection hidden="1"/>
    </xf>
    <xf numFmtId="172" fontId="2" fillId="0" borderId="0" xfId="0" applyNumberFormat="1" applyFont="1" applyFill="1"/>
    <xf numFmtId="175" fontId="2" fillId="0" borderId="0" xfId="0" applyNumberFormat="1" applyFont="1" applyFill="1"/>
    <xf numFmtId="2" fontId="0" fillId="4" borderId="3" xfId="0" applyNumberFormat="1" applyFill="1" applyBorder="1" applyProtection="1">
      <protection hidden="1"/>
    </xf>
    <xf numFmtId="1" fontId="5" fillId="3" borderId="8" xfId="0" applyNumberFormat="1" applyFont="1" applyFill="1" applyBorder="1"/>
    <xf numFmtId="3" fontId="0" fillId="0" borderId="8" xfId="0" applyNumberFormat="1" applyFont="1" applyFill="1" applyBorder="1" applyProtection="1">
      <protection locked="0"/>
    </xf>
    <xf numFmtId="168" fontId="0" fillId="3" borderId="8" xfId="0" applyNumberFormat="1" applyFill="1" applyBorder="1" applyAlignment="1">
      <alignment horizontal="right"/>
    </xf>
    <xf numFmtId="176" fontId="0" fillId="3" borderId="0" xfId="0" applyNumberFormat="1" applyFill="1"/>
    <xf numFmtId="0" fontId="0" fillId="6" borderId="0" xfId="0" applyFill="1"/>
    <xf numFmtId="0" fontId="5" fillId="6" borderId="0" xfId="0" applyFont="1" applyFill="1"/>
    <xf numFmtId="2" fontId="0" fillId="6" borderId="0" xfId="0" applyNumberFormat="1" applyFill="1"/>
    <xf numFmtId="0" fontId="0" fillId="4" borderId="3" xfId="0" applyFill="1" applyBorder="1" applyProtection="1">
      <protection hidden="1"/>
    </xf>
    <xf numFmtId="164" fontId="0" fillId="5" borderId="6" xfId="0" applyNumberFormat="1" applyFill="1" applyBorder="1" applyProtection="1">
      <protection hidden="1"/>
    </xf>
    <xf numFmtId="170" fontId="0" fillId="4" borderId="3" xfId="0" applyNumberFormat="1" applyFill="1" applyBorder="1" applyProtection="1">
      <protection hidden="1"/>
    </xf>
    <xf numFmtId="164" fontId="0" fillId="4" borderId="3" xfId="0" applyNumberFormat="1" applyFill="1" applyBorder="1" applyProtection="1">
      <protection hidden="1"/>
    </xf>
    <xf numFmtId="0" fontId="0" fillId="4" borderId="3" xfId="0" applyFill="1" applyBorder="1" applyProtection="1"/>
    <xf numFmtId="0" fontId="6" fillId="0" borderId="0" xfId="0" applyFont="1"/>
    <xf numFmtId="0" fontId="1" fillId="0" borderId="0" xfId="0" applyFont="1"/>
    <xf numFmtId="165" fontId="0" fillId="3" borderId="0" xfId="0" applyNumberFormat="1" applyFill="1" applyBorder="1"/>
    <xf numFmtId="164" fontId="0" fillId="0" borderId="0" xfId="0" applyNumberFormat="1" applyFill="1" applyBorder="1" applyProtection="1">
      <protection locked="0"/>
    </xf>
    <xf numFmtId="0" fontId="0" fillId="4" borderId="9" xfId="0" applyFill="1" applyBorder="1" applyProtection="1">
      <protection hidden="1"/>
    </xf>
    <xf numFmtId="174" fontId="2" fillId="0" borderId="0" xfId="0" applyNumberFormat="1" applyFont="1" applyFill="1"/>
    <xf numFmtId="174" fontId="0" fillId="0" borderId="0" xfId="0" applyNumberFormat="1"/>
    <xf numFmtId="2" fontId="2" fillId="0" borderId="0" xfId="0" applyNumberFormat="1" applyFont="1" applyFill="1"/>
    <xf numFmtId="3" fontId="2" fillId="0" borderId="0" xfId="0" applyNumberFormat="1" applyFont="1" applyFill="1"/>
    <xf numFmtId="3" fontId="2" fillId="0" borderId="0" xfId="0" applyNumberFormat="1" applyFont="1" applyAlignment="1">
      <alignment horizontal="right"/>
    </xf>
    <xf numFmtId="1" fontId="18" fillId="0" borderId="0" xfId="0" applyNumberFormat="1" applyFont="1" applyFill="1"/>
    <xf numFmtId="44" fontId="0" fillId="3" borderId="0" xfId="0" applyNumberFormat="1" applyFill="1"/>
    <xf numFmtId="3" fontId="0" fillId="3" borderId="1" xfId="0" applyNumberFormat="1" applyFont="1" applyFill="1" applyBorder="1"/>
    <xf numFmtId="167" fontId="0" fillId="4" borderId="1" xfId="0" applyNumberFormat="1" applyFill="1" applyBorder="1" applyProtection="1">
      <protection hidden="1"/>
    </xf>
    <xf numFmtId="165" fontId="0" fillId="4" borderId="8" xfId="0" applyNumberFormat="1" applyFill="1" applyBorder="1" applyProtection="1">
      <protection hidden="1"/>
    </xf>
    <xf numFmtId="2" fontId="0" fillId="0" borderId="0" xfId="0" applyNumberFormat="1"/>
    <xf numFmtId="3" fontId="0" fillId="6" borderId="15" xfId="0" applyNumberFormat="1" applyFont="1" applyFill="1" applyBorder="1" applyProtection="1">
      <protection locked="0"/>
    </xf>
    <xf numFmtId="165" fontId="0" fillId="0" borderId="0" xfId="0" applyNumberFormat="1"/>
    <xf numFmtId="10" fontId="0" fillId="0" borderId="0" xfId="0" applyNumberFormat="1" applyFill="1" applyBorder="1" applyProtection="1">
      <protection locked="0"/>
    </xf>
    <xf numFmtId="42" fontId="6" fillId="0" borderId="0" xfId="0" applyNumberFormat="1" applyFont="1" applyFill="1" applyProtection="1">
      <protection locked="0"/>
    </xf>
    <xf numFmtId="167" fontId="0" fillId="4" borderId="3" xfId="0" applyNumberFormat="1" applyFill="1" applyBorder="1" applyProtection="1">
      <protection hidden="1"/>
    </xf>
    <xf numFmtId="164" fontId="15" fillId="4" borderId="10" xfId="0" applyNumberFormat="1" applyFont="1" applyFill="1" applyBorder="1" applyProtection="1">
      <protection hidden="1"/>
    </xf>
    <xf numFmtId="165" fontId="20" fillId="0" borderId="0" xfId="0" applyNumberFormat="1" applyFont="1"/>
    <xf numFmtId="3" fontId="20" fillId="0" borderId="0" xfId="0" applyNumberFormat="1" applyFont="1"/>
    <xf numFmtId="0" fontId="21" fillId="3" borderId="0" xfId="0" applyFont="1" applyFill="1" applyProtection="1">
      <protection hidden="1"/>
    </xf>
    <xf numFmtId="0" fontId="21" fillId="3" borderId="0" xfId="0" applyFont="1" applyFill="1"/>
    <xf numFmtId="0" fontId="21" fillId="6" borderId="0" xfId="0" applyFont="1" applyFill="1"/>
    <xf numFmtId="0" fontId="22" fillId="3" borderId="0" xfId="0" applyFont="1" applyFill="1"/>
    <xf numFmtId="3" fontId="5" fillId="0" borderId="1" xfId="0" applyNumberFormat="1" applyFont="1" applyFill="1" applyBorder="1" applyProtection="1">
      <protection locked="0"/>
    </xf>
    <xf numFmtId="3" fontId="5" fillId="0" borderId="2" xfId="0" applyNumberFormat="1" applyFont="1" applyFill="1" applyBorder="1" applyProtection="1">
      <protection locked="0"/>
    </xf>
    <xf numFmtId="42" fontId="0" fillId="0" borderId="0" xfId="0" applyNumberFormat="1" applyFill="1" applyProtection="1">
      <protection locked="0"/>
    </xf>
    <xf numFmtId="42" fontId="0" fillId="4" borderId="0" xfId="0" applyNumberFormat="1" applyFill="1" applyProtection="1">
      <protection hidden="1"/>
    </xf>
    <xf numFmtId="0" fontId="0" fillId="0" borderId="0" xfId="0" applyNumberFormat="1"/>
    <xf numFmtId="42" fontId="23" fillId="4" borderId="0" xfId="0" applyNumberFormat="1" applyFont="1" applyFill="1" applyProtection="1">
      <protection hidden="1"/>
    </xf>
    <xf numFmtId="3" fontId="0" fillId="0" borderId="2" xfId="0" applyNumberFormat="1" applyFont="1" applyFill="1" applyBorder="1" applyProtection="1">
      <protection locked="0"/>
    </xf>
    <xf numFmtId="164" fontId="1" fillId="3" borderId="0" xfId="0" applyNumberFormat="1" applyFont="1" applyFill="1" applyAlignment="1" applyProtection="1">
      <alignment horizontal="center"/>
      <protection hidden="1"/>
    </xf>
    <xf numFmtId="3" fontId="1" fillId="3" borderId="0" xfId="0" applyNumberFormat="1" applyFont="1" applyFill="1"/>
    <xf numFmtId="9" fontId="21" fillId="3" borderId="0" xfId="0" applyNumberFormat="1" applyFont="1" applyFill="1"/>
    <xf numFmtId="1" fontId="21" fillId="3" borderId="0" xfId="0" applyNumberFormat="1" applyFont="1" applyFill="1" applyProtection="1">
      <protection hidden="1"/>
    </xf>
    <xf numFmtId="3" fontId="21" fillId="3" borderId="0" xfId="0" applyNumberFormat="1" applyFont="1" applyFill="1"/>
    <xf numFmtId="1" fontId="24" fillId="3" borderId="0" xfId="0" applyNumberFormat="1" applyFont="1" applyFill="1" applyProtection="1">
      <protection hidden="1"/>
    </xf>
    <xf numFmtId="165" fontId="0" fillId="3" borderId="8" xfId="0" applyNumberFormat="1" applyFill="1" applyBorder="1" applyAlignment="1">
      <alignment horizontal="right"/>
    </xf>
    <xf numFmtId="0" fontId="5" fillId="3" borderId="0" xfId="0" applyFont="1" applyFill="1" applyBorder="1"/>
    <xf numFmtId="0" fontId="5" fillId="3" borderId="0" xfId="0" applyFont="1" applyFill="1" applyAlignment="1">
      <alignment horizontal="left"/>
    </xf>
    <xf numFmtId="3" fontId="0" fillId="3" borderId="8" xfId="0" applyNumberFormat="1" applyFont="1" applyFill="1" applyBorder="1" applyAlignment="1">
      <alignment horizontal="right" vertical="center"/>
    </xf>
    <xf numFmtId="3" fontId="5" fillId="3" borderId="0" xfId="0" applyNumberFormat="1" applyFont="1" applyFill="1" applyProtection="1"/>
  </cellXfs>
  <cellStyles count="4">
    <cellStyle name="Header" xfId="1"/>
    <cellStyle name="Komma" xfId="3" builtinId="3"/>
    <cellStyle name="Standaard" xfId="0" builtinId="0"/>
    <cellStyle name="Standaard 2" xfId="2"/>
  </cellStyles>
  <dxfs count="699">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font>
    </dxf>
    <dxf>
      <font>
        <strike/>
      </font>
    </dxf>
    <dxf>
      <font>
        <strike/>
        <color theme="7" tint="-0.2499465926084170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Macrogegevens!$C$2</c:f>
          <c:strCache>
            <c:ptCount val="1"/>
            <c:pt idx="0">
              <c:v>Amstelveen</c:v>
            </c:pt>
          </c:strCache>
        </c:strRef>
      </c:tx>
      <c:layout>
        <c:manualLayout>
          <c:xMode val="edge"/>
          <c:yMode val="edge"/>
          <c:x val="5.6577088110519307E-2"/>
          <c:y val="3.7037234752435616E-2"/>
        </c:manualLayout>
      </c:layout>
      <c:overlay val="0"/>
      <c:txPr>
        <a:bodyPr/>
        <a:lstStyle/>
        <a:p>
          <a:pPr>
            <a:defRPr sz="1200" b="1" i="0" u="none" strike="noStrike" baseline="0">
              <a:solidFill>
                <a:srgbClr val="000000"/>
              </a:solidFill>
              <a:latin typeface="Calibri"/>
              <a:ea typeface="Calibri"/>
              <a:cs typeface="Calibri"/>
            </a:defRPr>
          </a:pPr>
          <a:endParaRPr lang="nl-NL"/>
        </a:p>
      </c:txPr>
    </c:title>
    <c:autoTitleDeleted val="0"/>
    <c:plotArea>
      <c:layout>
        <c:manualLayout>
          <c:layoutTarget val="inner"/>
          <c:xMode val="edge"/>
          <c:yMode val="edge"/>
          <c:x val="0.15252223680373544"/>
          <c:y val="0.16759262235077757"/>
          <c:w val="0.56221102362204722"/>
          <c:h val="0.63937736949547974"/>
        </c:manualLayout>
      </c:layout>
      <c:lineChart>
        <c:grouping val="standard"/>
        <c:varyColors val="0"/>
        <c:ser>
          <c:idx val="1"/>
          <c:order val="0"/>
          <c:tx>
            <c:strRef>
              <c:f>Macrogegevens!$K$3</c:f>
              <c:strCache>
                <c:ptCount val="1"/>
                <c:pt idx="0">
                  <c:v>Netto schuldquote</c:v>
                </c:pt>
              </c:strCache>
            </c:strRef>
          </c:tx>
          <c:spPr>
            <a:ln w="38100">
              <a:solidFill>
                <a:srgbClr val="FF0000"/>
              </a:solidFill>
            </a:ln>
          </c:spPr>
          <c:marker>
            <c:symbol val="none"/>
          </c:marker>
          <c:cat>
            <c:numRef>
              <c:f>Macrogegevens!$J$4:$J$14</c:f>
              <c:numCache>
                <c:formatCode>General</c:formatCode>
                <c:ptCount val="11"/>
                <c:pt idx="0" formatCode="0">
                  <c:v>2017</c:v>
                </c:pt>
                <c:pt idx="1">
                  <c:v>2018</c:v>
                </c:pt>
                <c:pt idx="2">
                  <c:v>2019</c:v>
                </c:pt>
                <c:pt idx="3">
                  <c:v>2020</c:v>
                </c:pt>
                <c:pt idx="4">
                  <c:v>2021</c:v>
                </c:pt>
                <c:pt idx="5">
                  <c:v>2022</c:v>
                </c:pt>
                <c:pt idx="6">
                  <c:v>2023</c:v>
                </c:pt>
                <c:pt idx="7">
                  <c:v>2024</c:v>
                </c:pt>
                <c:pt idx="8">
                  <c:v>2025</c:v>
                </c:pt>
                <c:pt idx="9">
                  <c:v>2026</c:v>
                </c:pt>
                <c:pt idx="10">
                  <c:v>2027</c:v>
                </c:pt>
              </c:numCache>
            </c:numRef>
          </c:cat>
          <c:val>
            <c:numRef>
              <c:f>Macrogegevens!$K$4:$K$14</c:f>
              <c:numCache>
                <c:formatCode>0%</c:formatCode>
                <c:ptCount val="11"/>
                <c:pt idx="0">
                  <c:v>-3.6147393104522425E-2</c:v>
                </c:pt>
                <c:pt idx="1">
                  <c:v>-4.6080929938225559E-2</c:v>
                </c:pt>
                <c:pt idx="2">
                  <c:v>8.1882159707621929E-2</c:v>
                </c:pt>
                <c:pt idx="3">
                  <c:v>0.19931993830266354</c:v>
                </c:pt>
                <c:pt idx="4">
                  <c:v>0.28723549798839448</c:v>
                </c:pt>
                <c:pt idx="5">
                  <c:v>0.32934688462497202</c:v>
                </c:pt>
                <c:pt idx="6">
                  <c:v>0.34220118688596346</c:v>
                </c:pt>
                <c:pt idx="7">
                  <c:v>0.34573333697074893</c:v>
                </c:pt>
                <c:pt idx="8">
                  <c:v>0.34634195492238462</c:v>
                </c:pt>
                <c:pt idx="9">
                  <c:v>0.34150239416639583</c:v>
                </c:pt>
                <c:pt idx="10">
                  <c:v>0.33122475084979536</c:v>
                </c:pt>
              </c:numCache>
            </c:numRef>
          </c:val>
          <c:smooth val="0"/>
          <c:extLst xmlns:c16r2="http://schemas.microsoft.com/office/drawing/2015/06/chart">
            <c:ext xmlns:c16="http://schemas.microsoft.com/office/drawing/2014/chart" uri="{C3380CC4-5D6E-409C-BE32-E72D297353CC}">
              <c16:uniqueId val="{00000000-FDC6-4504-999C-457E6CC8F028}"/>
            </c:ext>
          </c:extLst>
        </c:ser>
        <c:dLbls>
          <c:showLegendKey val="0"/>
          <c:showVal val="0"/>
          <c:showCatName val="0"/>
          <c:showSerName val="0"/>
          <c:showPercent val="0"/>
          <c:showBubbleSize val="0"/>
        </c:dLbls>
        <c:smooth val="0"/>
        <c:axId val="306590568"/>
        <c:axId val="306595664"/>
      </c:lineChart>
      <c:catAx>
        <c:axId val="306590568"/>
        <c:scaling>
          <c:orientation val="minMax"/>
        </c:scaling>
        <c:delete val="0"/>
        <c:axPos val="b"/>
        <c:numFmt formatCode="0" sourceLinked="1"/>
        <c:majorTickMark val="out"/>
        <c:minorTickMark val="none"/>
        <c:tickLblPos val="nextTo"/>
        <c:txPr>
          <a:bodyPr rot="-2700000" vert="horz"/>
          <a:lstStyle/>
          <a:p>
            <a:pPr>
              <a:defRPr sz="1000" b="1" i="0" u="none" strike="noStrike" baseline="0">
                <a:solidFill>
                  <a:srgbClr val="000000"/>
                </a:solidFill>
                <a:latin typeface="Calibri"/>
                <a:ea typeface="Calibri"/>
                <a:cs typeface="Calibri"/>
              </a:defRPr>
            </a:pPr>
            <a:endParaRPr lang="nl-NL"/>
          </a:p>
        </c:txPr>
        <c:crossAx val="306595664"/>
        <c:crossesAt val="0"/>
        <c:auto val="1"/>
        <c:lblAlgn val="ctr"/>
        <c:lblOffset val="100"/>
        <c:tickLblSkip val="1"/>
        <c:noMultiLvlLbl val="0"/>
      </c:catAx>
      <c:valAx>
        <c:axId val="306595664"/>
        <c:scaling>
          <c:orientation val="minMax"/>
        </c:scaling>
        <c:delete val="0"/>
        <c:axPos val="l"/>
        <c:majorGridlines/>
        <c:numFmt formatCode="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nl-NL"/>
          </a:p>
        </c:txPr>
        <c:crossAx val="306590568"/>
        <c:crosses val="autoZero"/>
        <c:crossBetween val="midCat"/>
      </c:valAx>
    </c:plotArea>
    <c:legend>
      <c:legendPos val="r"/>
      <c:layout/>
      <c:overlay val="0"/>
      <c:txPr>
        <a:bodyPr/>
        <a:lstStyle/>
        <a:p>
          <a:pPr>
            <a:defRPr sz="845" b="1" i="0" u="none" strike="noStrike" baseline="0">
              <a:solidFill>
                <a:srgbClr val="000000"/>
              </a:solidFill>
              <a:latin typeface="Calibri"/>
              <a:ea typeface="Calibri"/>
              <a:cs typeface="Calibri"/>
            </a:defRPr>
          </a:pPr>
          <a:endParaRPr lang="nl-NL"/>
        </a:p>
      </c:txPr>
    </c:legend>
    <c:plotVisOnly val="0"/>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12"/>
          <c:y val="0.20544968040691092"/>
          <c:w val="0.55305062406767502"/>
          <c:h val="0.63349262060785183"/>
        </c:manualLayout>
      </c:layout>
      <c:barChart>
        <c:barDir val="col"/>
        <c:grouping val="clustered"/>
        <c:varyColors val="0"/>
        <c:ser>
          <c:idx val="3"/>
          <c:order val="0"/>
          <c:tx>
            <c:strRef>
              <c:f>Macrogegevens!$L$28</c:f>
              <c:strCache>
                <c:ptCount val="1"/>
                <c:pt idx="0">
                  <c:v>Solvabiliteitsratio (excl. voorzieningen)</c:v>
                </c:pt>
              </c:strCache>
            </c:strRef>
          </c:tx>
          <c:spPr>
            <a:solidFill>
              <a:schemeClr val="accent3">
                <a:lumMod val="75000"/>
              </a:schemeClr>
            </a:solidFill>
          </c:spPr>
          <c:invertIfNegative val="0"/>
          <c:cat>
            <c:numRef>
              <c:f>Macrogegevens!$S$23:$U$23</c:f>
              <c:numCache>
                <c:formatCode>0_ ;[Red]\-0\ </c:formatCode>
                <c:ptCount val="3"/>
                <c:pt idx="0">
                  <c:v>2016</c:v>
                </c:pt>
                <c:pt idx="1">
                  <c:v>2017</c:v>
                </c:pt>
                <c:pt idx="2">
                  <c:v>2018</c:v>
                </c:pt>
              </c:numCache>
            </c:numRef>
          </c:cat>
          <c:val>
            <c:numRef>
              <c:f>Macrogegevens!$S$28:$U$28</c:f>
              <c:numCache>
                <c:formatCode>0.0%</c:formatCode>
                <c:ptCount val="3"/>
                <c:pt idx="0">
                  <c:v>0.6624802994483846</c:v>
                </c:pt>
                <c:pt idx="1">
                  <c:v>0.60155447521221639</c:v>
                </c:pt>
                <c:pt idx="2">
                  <c:v>0.62149243951793787</c:v>
                </c:pt>
              </c:numCache>
            </c:numRef>
          </c:val>
          <c:extLst xmlns:c16r2="http://schemas.microsoft.com/office/drawing/2015/06/chart">
            <c:ext xmlns:c16="http://schemas.microsoft.com/office/drawing/2014/chart" uri="{C3380CC4-5D6E-409C-BE32-E72D297353CC}">
              <c16:uniqueId val="{00000001-F204-4F02-BC88-1D18A27E97E3}"/>
            </c:ext>
          </c:extLst>
        </c:ser>
        <c:ser>
          <c:idx val="6"/>
          <c:order val="1"/>
          <c:tx>
            <c:strRef>
              <c:f>Macrogegevens!$L$29</c:f>
              <c:strCache>
                <c:ptCount val="1"/>
                <c:pt idx="0">
                  <c:v>Netto schuldquote incl. uitgeleend</c:v>
                </c:pt>
              </c:strCache>
            </c:strRef>
          </c:tx>
          <c:spPr>
            <a:solidFill>
              <a:srgbClr val="FF0000"/>
            </a:solidFill>
          </c:spPr>
          <c:invertIfNegative val="0"/>
          <c:cat>
            <c:numRef>
              <c:f>Macrogegevens!$S$23:$U$23</c:f>
              <c:numCache>
                <c:formatCode>0_ ;[Red]\-0\ </c:formatCode>
                <c:ptCount val="3"/>
                <c:pt idx="0">
                  <c:v>2016</c:v>
                </c:pt>
                <c:pt idx="1">
                  <c:v>2017</c:v>
                </c:pt>
                <c:pt idx="2">
                  <c:v>2018</c:v>
                </c:pt>
              </c:numCache>
            </c:numRef>
          </c:cat>
          <c:val>
            <c:numRef>
              <c:f>Macrogegevens!$S$29:$U$29</c:f>
              <c:numCache>
                <c:formatCode>0.0%</c:formatCode>
                <c:ptCount val="3"/>
                <c:pt idx="0">
                  <c:v>-3.4132743625264243E-2</c:v>
                </c:pt>
                <c:pt idx="1">
                  <c:v>-3.6147393104522425E-2</c:v>
                </c:pt>
                <c:pt idx="2">
                  <c:v>-4.6080929938225532E-2</c:v>
                </c:pt>
              </c:numCache>
            </c:numRef>
          </c:val>
          <c:extLst xmlns:c16r2="http://schemas.microsoft.com/office/drawing/2015/06/chart">
            <c:ext xmlns:c16="http://schemas.microsoft.com/office/drawing/2014/chart" uri="{C3380CC4-5D6E-409C-BE32-E72D297353CC}">
              <c16:uniqueId val="{00000003-F204-4F02-BC88-1D18A27E97E3}"/>
            </c:ext>
          </c:extLst>
        </c:ser>
        <c:ser>
          <c:idx val="8"/>
          <c:order val="2"/>
          <c:tx>
            <c:strRef>
              <c:f>Macrogegevens!$L$32</c:f>
              <c:strCache>
                <c:ptCount val="1"/>
                <c:pt idx="0">
                  <c:v>Effectieve netto schuldquote</c:v>
                </c:pt>
              </c:strCache>
            </c:strRef>
          </c:tx>
          <c:spPr>
            <a:solidFill>
              <a:schemeClr val="accent1">
                <a:lumMod val="75000"/>
              </a:schemeClr>
            </a:solidFill>
          </c:spPr>
          <c:invertIfNegative val="0"/>
          <c:cat>
            <c:numRef>
              <c:f>Macrogegevens!$S$23:$U$23</c:f>
              <c:numCache>
                <c:formatCode>0_ ;[Red]\-0\ </c:formatCode>
                <c:ptCount val="3"/>
                <c:pt idx="0">
                  <c:v>2016</c:v>
                </c:pt>
                <c:pt idx="1">
                  <c:v>2017</c:v>
                </c:pt>
                <c:pt idx="2">
                  <c:v>2018</c:v>
                </c:pt>
              </c:numCache>
            </c:numRef>
          </c:cat>
          <c:val>
            <c:numRef>
              <c:f>Macrogegevens!$S$32:$U$32</c:f>
              <c:numCache>
                <c:formatCode>0.0%</c:formatCode>
                <c:ptCount val="3"/>
                <c:pt idx="0">
                  <c:v>-2.2532906303352269E-2</c:v>
                </c:pt>
                <c:pt idx="1">
                  <c:v>-3.2267270060613404E-2</c:v>
                </c:pt>
                <c:pt idx="2">
                  <c:v>-4.2200806894316503E-2</c:v>
                </c:pt>
              </c:numCache>
            </c:numRef>
          </c:val>
          <c:extLst xmlns:c16r2="http://schemas.microsoft.com/office/drawing/2015/06/chart">
            <c:ext xmlns:c16="http://schemas.microsoft.com/office/drawing/2014/chart" uri="{C3380CC4-5D6E-409C-BE32-E72D297353CC}">
              <c16:uniqueId val="{00000004-F204-4F02-BC88-1D18A27E97E3}"/>
            </c:ext>
          </c:extLst>
        </c:ser>
        <c:ser>
          <c:idx val="9"/>
          <c:order val="3"/>
          <c:tx>
            <c:strRef>
              <c:f>Macrogegevens!$L$34</c:f>
              <c:strCache>
                <c:ptCount val="1"/>
                <c:pt idx="0">
                  <c:v>Resultaat v. mutatie reserves in % van inkomsten</c:v>
                </c:pt>
              </c:strCache>
            </c:strRef>
          </c:tx>
          <c:spPr>
            <a:solidFill>
              <a:schemeClr val="tx1"/>
            </a:solidFill>
          </c:spPr>
          <c:invertIfNegative val="0"/>
          <c:cat>
            <c:numRef>
              <c:f>Macrogegevens!$S$23:$U$23</c:f>
              <c:numCache>
                <c:formatCode>0_ ;[Red]\-0\ </c:formatCode>
                <c:ptCount val="3"/>
                <c:pt idx="0">
                  <c:v>2016</c:v>
                </c:pt>
                <c:pt idx="1">
                  <c:v>2017</c:v>
                </c:pt>
                <c:pt idx="2">
                  <c:v>2018</c:v>
                </c:pt>
              </c:numCache>
            </c:numRef>
          </c:cat>
          <c:val>
            <c:numRef>
              <c:f>Macrogegevens!$S$34:$U$34</c:f>
              <c:numCache>
                <c:formatCode>0.0%</c:formatCode>
                <c:ptCount val="3"/>
                <c:pt idx="0">
                  <c:v>4.4511944553884998E-2</c:v>
                </c:pt>
                <c:pt idx="1">
                  <c:v>-3.2267270060613404E-2</c:v>
                </c:pt>
                <c:pt idx="2">
                  <c:v>-4.2200806894316503E-2</c:v>
                </c:pt>
              </c:numCache>
            </c:numRef>
          </c:val>
          <c:extLst xmlns:c16r2="http://schemas.microsoft.com/office/drawing/2015/06/chart">
            <c:ext xmlns:c16="http://schemas.microsoft.com/office/drawing/2014/chart" uri="{C3380CC4-5D6E-409C-BE32-E72D297353CC}">
              <c16:uniqueId val="{00000005-F204-4F02-BC88-1D18A27E97E3}"/>
            </c:ext>
          </c:extLst>
        </c:ser>
        <c:ser>
          <c:idx val="0"/>
          <c:order val="4"/>
          <c:tx>
            <c:strRef>
              <c:f>Macrogegevens!$L$38</c:f>
              <c:strCache>
                <c:ptCount val="1"/>
                <c:pt idx="0">
                  <c:v>Netto investeringsquote</c:v>
                </c:pt>
              </c:strCache>
            </c:strRef>
          </c:tx>
          <c:spPr>
            <a:solidFill>
              <a:srgbClr val="7030A0"/>
            </a:solidFill>
          </c:spPr>
          <c:invertIfNegative val="0"/>
          <c:cat>
            <c:numRef>
              <c:f>Macrogegevens!$S$23:$U$23</c:f>
              <c:numCache>
                <c:formatCode>0_ ;[Red]\-0\ </c:formatCode>
                <c:ptCount val="3"/>
                <c:pt idx="0">
                  <c:v>2016</c:v>
                </c:pt>
                <c:pt idx="1">
                  <c:v>2017</c:v>
                </c:pt>
                <c:pt idx="2">
                  <c:v>2018</c:v>
                </c:pt>
              </c:numCache>
            </c:numRef>
          </c:cat>
          <c:val>
            <c:numRef>
              <c:f>Macrogegevens!$S$38:$U$38</c:f>
              <c:numCache>
                <c:formatCode>0.0%</c:formatCode>
                <c:ptCount val="3"/>
                <c:pt idx="1">
                  <c:v>2.4928086964994555E-2</c:v>
                </c:pt>
                <c:pt idx="2">
                  <c:v>2.2244378394151037E-2</c:v>
                </c:pt>
              </c:numCache>
            </c:numRef>
          </c:val>
          <c:extLst xmlns:c16r2="http://schemas.microsoft.com/office/drawing/2015/06/chart">
            <c:ext xmlns:c16="http://schemas.microsoft.com/office/drawing/2014/chart" uri="{C3380CC4-5D6E-409C-BE32-E72D297353CC}">
              <c16:uniqueId val="{00000000-F9B1-4979-8185-90938DF68308}"/>
            </c:ext>
          </c:extLst>
        </c:ser>
        <c:ser>
          <c:idx val="1"/>
          <c:order val="5"/>
          <c:tx>
            <c:strRef>
              <c:f>Macrogegevens!$L$36</c:f>
              <c:strCache>
                <c:ptCount val="1"/>
                <c:pt idx="0">
                  <c:v>Onbenutte belastingcapaciteit in % van inkomsten</c:v>
                </c:pt>
              </c:strCache>
            </c:strRef>
          </c:tx>
          <c:spPr>
            <a:solidFill>
              <a:schemeClr val="accent6">
                <a:lumMod val="75000"/>
              </a:schemeClr>
            </a:solidFill>
          </c:spPr>
          <c:invertIfNegative val="0"/>
          <c:cat>
            <c:numRef>
              <c:f>Macrogegevens!$S$23:$U$23</c:f>
              <c:numCache>
                <c:formatCode>0_ ;[Red]\-0\ </c:formatCode>
                <c:ptCount val="3"/>
                <c:pt idx="0">
                  <c:v>2016</c:v>
                </c:pt>
                <c:pt idx="1">
                  <c:v>2017</c:v>
                </c:pt>
                <c:pt idx="2">
                  <c:v>2018</c:v>
                </c:pt>
              </c:numCache>
            </c:numRef>
          </c:cat>
          <c:val>
            <c:numRef>
              <c:f>Macrogegevens!$S$36:$U$36</c:f>
              <c:numCache>
                <c:formatCode>0.0%</c:formatCode>
                <c:ptCount val="3"/>
                <c:pt idx="2">
                  <c:v>6.4895737992607144E-2</c:v>
                </c:pt>
              </c:numCache>
            </c:numRef>
          </c:val>
          <c:extLst xmlns:c16r2="http://schemas.microsoft.com/office/drawing/2015/06/chart">
            <c:ext xmlns:c16="http://schemas.microsoft.com/office/drawing/2014/chart" uri="{C3380CC4-5D6E-409C-BE32-E72D297353CC}">
              <c16:uniqueId val="{00000001-F9B1-4979-8185-90938DF68308}"/>
            </c:ext>
          </c:extLst>
        </c:ser>
        <c:ser>
          <c:idx val="2"/>
          <c:order val="6"/>
          <c:tx>
            <c:strRef>
              <c:f>Macrogegevens!$L$35</c:f>
              <c:strCache>
                <c:ptCount val="1"/>
                <c:pt idx="0">
                  <c:v>Afhankelijkheidsratio</c:v>
                </c:pt>
              </c:strCache>
            </c:strRef>
          </c:tx>
          <c:spPr>
            <a:solidFill>
              <a:srgbClr val="FFFF00"/>
            </a:solidFill>
          </c:spPr>
          <c:invertIfNegative val="0"/>
          <c:cat>
            <c:numRef>
              <c:f>Macrogegevens!$S$23:$U$23</c:f>
              <c:numCache>
                <c:formatCode>0_ ;[Red]\-0\ </c:formatCode>
                <c:ptCount val="3"/>
                <c:pt idx="0">
                  <c:v>2016</c:v>
                </c:pt>
                <c:pt idx="1">
                  <c:v>2017</c:v>
                </c:pt>
                <c:pt idx="2">
                  <c:v>2018</c:v>
                </c:pt>
              </c:numCache>
            </c:numRef>
          </c:cat>
          <c:val>
            <c:numRef>
              <c:f>Macrogegevens!$S$35:$U$35</c:f>
              <c:numCache>
                <c:formatCode>0.0%</c:formatCode>
                <c:ptCount val="3"/>
                <c:pt idx="2">
                  <c:v>0.52178547418403154</c:v>
                </c:pt>
              </c:numCache>
            </c:numRef>
          </c:val>
          <c:extLst xmlns:c16r2="http://schemas.microsoft.com/office/drawing/2015/06/chart">
            <c:ext xmlns:c16="http://schemas.microsoft.com/office/drawing/2014/chart" uri="{C3380CC4-5D6E-409C-BE32-E72D297353CC}">
              <c16:uniqueId val="{00000002-F9B1-4979-8185-90938DF68308}"/>
            </c:ext>
          </c:extLst>
        </c:ser>
        <c:dLbls>
          <c:showLegendKey val="0"/>
          <c:showVal val="0"/>
          <c:showCatName val="0"/>
          <c:showSerName val="0"/>
          <c:showPercent val="0"/>
          <c:showBubbleSize val="0"/>
        </c:dLbls>
        <c:gapWidth val="150"/>
        <c:axId val="306592136"/>
        <c:axId val="306596840"/>
      </c:barChart>
      <c:catAx>
        <c:axId val="306592136"/>
        <c:scaling>
          <c:orientation val="minMax"/>
        </c:scaling>
        <c:delete val="0"/>
        <c:axPos val="b"/>
        <c:numFmt formatCode="General" sourceLinked="0"/>
        <c:majorTickMark val="out"/>
        <c:minorTickMark val="none"/>
        <c:tickLblPos val="nextTo"/>
        <c:spPr>
          <a:solidFill>
            <a:schemeClr val="bg1"/>
          </a:solidFill>
        </c:spPr>
        <c:txPr>
          <a:bodyPr rot="5400000" vert="horz" anchor="t" anchorCtr="0"/>
          <a:lstStyle/>
          <a:p>
            <a:pPr>
              <a:defRPr sz="1000" b="1" i="0" u="none" strike="noStrike" baseline="0">
                <a:solidFill>
                  <a:srgbClr val="000000"/>
                </a:solidFill>
                <a:latin typeface="Calibri"/>
                <a:ea typeface="Calibri"/>
                <a:cs typeface="Calibri"/>
              </a:defRPr>
            </a:pPr>
            <a:endParaRPr lang="nl-NL"/>
          </a:p>
        </c:txPr>
        <c:crossAx val="306596840"/>
        <c:crosses val="autoZero"/>
        <c:auto val="1"/>
        <c:lblAlgn val="ctr"/>
        <c:lblOffset val="100"/>
        <c:noMultiLvlLbl val="0"/>
      </c:catAx>
      <c:valAx>
        <c:axId val="306596840"/>
        <c:scaling>
          <c:orientation val="minMax"/>
        </c:scaling>
        <c:delete val="0"/>
        <c:axPos val="l"/>
        <c:majorGridlines/>
        <c:numFmt formatCode="0%"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nl-NL"/>
          </a:p>
        </c:txPr>
        <c:crossAx val="306592136"/>
        <c:crosses val="autoZero"/>
        <c:crossBetween val="between"/>
      </c:valAx>
    </c:plotArea>
    <c:legend>
      <c:legendPos val="r"/>
      <c:layout>
        <c:manualLayout>
          <c:xMode val="edge"/>
          <c:yMode val="edge"/>
          <c:x val="0.69570432375440827"/>
          <c:y val="0.22771434895091255"/>
          <c:w val="0.30429572822758577"/>
          <c:h val="0.64425428442839594"/>
        </c:manualLayout>
      </c:layout>
      <c:overlay val="0"/>
      <c:txPr>
        <a:bodyPr/>
        <a:lstStyle/>
        <a:p>
          <a:pPr>
            <a:defRPr sz="845" b="1" i="0" u="none" strike="noStrike" baseline="0">
              <a:solidFill>
                <a:srgbClr val="000000"/>
              </a:solidFill>
              <a:latin typeface="Calibri"/>
              <a:ea typeface="Calibri"/>
              <a:cs typeface="Calibri"/>
            </a:defRPr>
          </a:pPr>
          <a:endParaRPr lang="nl-NL"/>
        </a:p>
      </c:txPr>
    </c:legend>
    <c:plotVisOnly val="1"/>
    <c:dispBlanksAs val="gap"/>
    <c:showDLblsOverMax val="0"/>
  </c:chart>
  <c:spPr>
    <a:solidFill>
      <a:schemeClr val="bg1">
        <a:lumMod val="65000"/>
      </a:schemeClr>
    </a:solidFill>
    <a:ln w="12700">
      <a:solidFill>
        <a:schemeClr val="tx1"/>
      </a:solidFill>
    </a:ln>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nl-NL" b="0">
                <a:solidFill>
                  <a:sysClr val="windowText" lastClr="000000"/>
                </a:solidFill>
              </a:rPr>
              <a:t>Inkomensmix 2018</a:t>
            </a:r>
          </a:p>
        </c:rich>
      </c:tx>
      <c:layout>
        <c:manualLayout>
          <c:xMode val="edge"/>
          <c:yMode val="edge"/>
          <c:x val="0.38684229425227401"/>
          <c:y val="2.91643523203026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nl-NL"/>
        </a:p>
      </c:txPr>
    </c:title>
    <c:autoTitleDeleted val="0"/>
    <c:plotArea>
      <c:layout>
        <c:manualLayout>
          <c:layoutTarget val="inner"/>
          <c:xMode val="edge"/>
          <c:yMode val="edge"/>
          <c:x val="9.8339107611548557E-2"/>
          <c:y val="0.14136653188621692"/>
          <c:w val="0.82025049091085833"/>
          <c:h val="0.72091565581329364"/>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CB2-48E3-AEE4-4EF52CEC8FC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F05-4330-9F56-ACD9A04FA415}"/>
              </c:ext>
            </c:extLst>
          </c:dPt>
          <c:dPt>
            <c:idx val="2"/>
            <c:bubble3D val="0"/>
            <c:spPr>
              <a:solidFill>
                <a:schemeClr val="accent6">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BCB2-48E3-AEE4-4EF52CEC8FC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6F05-4330-9F56-ACD9A04FA415}"/>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6F05-4330-9F56-ACD9A04FA415}"/>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6F05-4330-9F56-ACD9A04FA415}"/>
              </c:ext>
            </c:extLst>
          </c:dPt>
          <c:dPt>
            <c:idx val="6"/>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8-BCB2-48E3-AEE4-4EF52CEC8FCC}"/>
              </c:ext>
            </c:extLst>
          </c:dPt>
          <c:dPt>
            <c:idx val="7"/>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5-BCB2-48E3-AEE4-4EF52CEC8FCC}"/>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6F05-4330-9F56-ACD9A04FA415}"/>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3-ED82-4DD6-909B-9DA11E96B1CD}"/>
              </c:ext>
            </c:extLst>
          </c:dPt>
          <c:dLbls>
            <c:dLbl>
              <c:idx val="6"/>
              <c:layout>
                <c:manualLayout>
                  <c:x val="1.5027763998530742E-2"/>
                  <c:y val="4.191528923450685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CB2-48E3-AEE4-4EF52CEC8FCC}"/>
                </c:ext>
                <c:ext xmlns:c15="http://schemas.microsoft.com/office/drawing/2012/chart" uri="{CE6537A1-D6FC-4f65-9D91-7224C49458BB}">
                  <c15:layout/>
                </c:ext>
              </c:extLst>
            </c:dLbl>
            <c:dLbl>
              <c:idx val="7"/>
              <c:layout>
                <c:manualLayout>
                  <c:x val="-2.0989248218400928E-2"/>
                  <c:y val="-6.16190504024826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CB2-48E3-AEE4-4EF52CEC8FCC}"/>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'Inkomsten &amp; uitgaven'!$P$2:$P$10</c:f>
              <c:strCache>
                <c:ptCount val="9"/>
                <c:pt idx="0">
                  <c:v>Rijksoverdrachten</c:v>
                </c:pt>
                <c:pt idx="1">
                  <c:v>OZB</c:v>
                </c:pt>
                <c:pt idx="2">
                  <c:v>Riool rechten</c:v>
                </c:pt>
                <c:pt idx="3">
                  <c:v>Afvalstoffenheffing</c:v>
                </c:pt>
                <c:pt idx="4">
                  <c:v>Bouwgrond </c:v>
                </c:pt>
                <c:pt idx="5">
                  <c:v>Overige belastingen</c:v>
                </c:pt>
                <c:pt idx="6">
                  <c:v>Overige rechten &amp; leges</c:v>
                </c:pt>
                <c:pt idx="7">
                  <c:v>Rente en dividend</c:v>
                </c:pt>
                <c:pt idx="8">
                  <c:v>Overige eigen inkomsten</c:v>
                </c:pt>
              </c:strCache>
            </c:strRef>
          </c:cat>
          <c:val>
            <c:numRef>
              <c:f>'Inkomsten &amp; uitgaven'!$Q$2:$Q$10</c:f>
              <c:numCache>
                <c:formatCode>0.0%</c:formatCode>
                <c:ptCount val="9"/>
                <c:pt idx="0">
                  <c:v>0.52178547418403154</c:v>
                </c:pt>
                <c:pt idx="1">
                  <c:v>8.956592843205545E-2</c:v>
                </c:pt>
                <c:pt idx="2">
                  <c:v>3.7077577367535274E-2</c:v>
                </c:pt>
                <c:pt idx="3">
                  <c:v>3.6874234761202232E-2</c:v>
                </c:pt>
                <c:pt idx="4">
                  <c:v>0</c:v>
                </c:pt>
                <c:pt idx="5">
                  <c:v>1.2066436788571281E-2</c:v>
                </c:pt>
                <c:pt idx="6">
                  <c:v>3.3339534561753419E-2</c:v>
                </c:pt>
                <c:pt idx="7">
                  <c:v>6.09818159792677E-3</c:v>
                </c:pt>
                <c:pt idx="8">
                  <c:v>0.26319263230692408</c:v>
                </c:pt>
              </c:numCache>
            </c:numRef>
          </c:val>
          <c:extLst xmlns:c16r2="http://schemas.microsoft.com/office/drawing/2015/06/chart">
            <c:ext xmlns:c16="http://schemas.microsoft.com/office/drawing/2014/chart" uri="{C3380CC4-5D6E-409C-BE32-E72D297353CC}">
              <c16:uniqueId val="{0000001D-B425-4D53-AC61-E66DA3AB83BF}"/>
            </c:ext>
          </c:extLst>
        </c:ser>
        <c:dLbls>
          <c:showLegendKey val="0"/>
          <c:showVal val="0"/>
          <c:showCatName val="0"/>
          <c:showSerName val="0"/>
          <c:showPercent val="0"/>
          <c:showBubbleSize val="0"/>
          <c:showLeaderLines val="1"/>
        </c:dLbls>
        <c:gapWidth val="150"/>
        <c:splitType val="pos"/>
        <c:splitPos val="3"/>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l-NL"/>
              <a:t>Ontwikkeling schuldbelasting bezit eind 2017 - 2018</a:t>
            </a:r>
          </a:p>
        </c:rich>
      </c:tx>
      <c:layout>
        <c:manualLayout>
          <c:xMode val="edge"/>
          <c:yMode val="edge"/>
          <c:x val="0.38015802712161922"/>
          <c:y val="3.2407407407408786E-2"/>
        </c:manualLayout>
      </c:layout>
      <c:overlay val="0"/>
    </c:title>
    <c:autoTitleDeleted val="0"/>
    <c:plotArea>
      <c:layout>
        <c:manualLayout>
          <c:layoutTarget val="inner"/>
          <c:xMode val="edge"/>
          <c:yMode val="edge"/>
          <c:x val="0.13043318828092118"/>
          <c:y val="0.1463079615048119"/>
          <c:w val="0.48012167783913451"/>
          <c:h val="0.73771216097987768"/>
        </c:manualLayout>
      </c:layout>
      <c:barChart>
        <c:barDir val="col"/>
        <c:grouping val="clustered"/>
        <c:varyColors val="0"/>
        <c:ser>
          <c:idx val="0"/>
          <c:order val="0"/>
          <c:tx>
            <c:strRef>
              <c:f>Balansprognose!$E$39</c:f>
              <c:strCache>
                <c:ptCount val="1"/>
                <c:pt idx="0">
                  <c:v>Schuldratio</c:v>
                </c:pt>
              </c:strCache>
            </c:strRef>
          </c:tx>
          <c:spPr>
            <a:solidFill>
              <a:srgbClr val="C00000"/>
            </a:solidFill>
          </c:spPr>
          <c:invertIfNegative val="0"/>
          <c:cat>
            <c:numRef>
              <c:f>Balansprognose!$F$4:$G$4</c:f>
              <c:numCache>
                <c:formatCode>0</c:formatCode>
                <c:ptCount val="2"/>
                <c:pt idx="0">
                  <c:v>2017</c:v>
                </c:pt>
                <c:pt idx="1">
                  <c:v>2018</c:v>
                </c:pt>
              </c:numCache>
            </c:numRef>
          </c:cat>
          <c:val>
            <c:numRef>
              <c:f>Balansprognose!$F$39:$G$39</c:f>
              <c:numCache>
                <c:formatCode>0.0%</c:formatCode>
                <c:ptCount val="2"/>
                <c:pt idx="0">
                  <c:v>0.33420607464529012</c:v>
                </c:pt>
                <c:pt idx="1">
                  <c:v>0.31639162131279702</c:v>
                </c:pt>
              </c:numCache>
            </c:numRef>
          </c:val>
          <c:extLst xmlns:c16r2="http://schemas.microsoft.com/office/drawing/2015/06/chart">
            <c:ext xmlns:c16="http://schemas.microsoft.com/office/drawing/2014/chart" uri="{C3380CC4-5D6E-409C-BE32-E72D297353CC}">
              <c16:uniqueId val="{00000000-752A-47B0-A5EB-20A0966B6D4C}"/>
            </c:ext>
          </c:extLst>
        </c:ser>
        <c:ser>
          <c:idx val="1"/>
          <c:order val="1"/>
          <c:tx>
            <c:strRef>
              <c:f>Balansprognose!$E$38</c:f>
              <c:strCache>
                <c:ptCount val="1"/>
                <c:pt idx="0">
                  <c:v>Solvabiliteitsratio</c:v>
                </c:pt>
              </c:strCache>
            </c:strRef>
          </c:tx>
          <c:spPr>
            <a:solidFill>
              <a:schemeClr val="accent3">
                <a:lumMod val="75000"/>
              </a:schemeClr>
            </a:solidFill>
          </c:spPr>
          <c:invertIfNegative val="0"/>
          <c:cat>
            <c:numRef>
              <c:f>Balansprognose!$F$4:$G$4</c:f>
              <c:numCache>
                <c:formatCode>0</c:formatCode>
                <c:ptCount val="2"/>
                <c:pt idx="0">
                  <c:v>2017</c:v>
                </c:pt>
                <c:pt idx="1">
                  <c:v>2018</c:v>
                </c:pt>
              </c:numCache>
            </c:numRef>
          </c:cat>
          <c:val>
            <c:numRef>
              <c:f>Balansprognose!$F$38:$G$38</c:f>
              <c:numCache>
                <c:formatCode>0.0%</c:formatCode>
                <c:ptCount val="2"/>
                <c:pt idx="0">
                  <c:v>0.60155447521221639</c:v>
                </c:pt>
                <c:pt idx="1">
                  <c:v>0.62149243951793787</c:v>
                </c:pt>
              </c:numCache>
            </c:numRef>
          </c:val>
          <c:extLst xmlns:c16r2="http://schemas.microsoft.com/office/drawing/2015/06/chart">
            <c:ext xmlns:c16="http://schemas.microsoft.com/office/drawing/2014/chart" uri="{C3380CC4-5D6E-409C-BE32-E72D297353CC}">
              <c16:uniqueId val="{00000001-752A-47B0-A5EB-20A0966B6D4C}"/>
            </c:ext>
          </c:extLst>
        </c:ser>
        <c:dLbls>
          <c:showLegendKey val="0"/>
          <c:showVal val="0"/>
          <c:showCatName val="0"/>
          <c:showSerName val="0"/>
          <c:showPercent val="0"/>
          <c:showBubbleSize val="0"/>
        </c:dLbls>
        <c:gapWidth val="55"/>
        <c:axId val="446227872"/>
        <c:axId val="446229832"/>
      </c:barChart>
      <c:catAx>
        <c:axId val="446227872"/>
        <c:scaling>
          <c:orientation val="minMax"/>
        </c:scaling>
        <c:delete val="0"/>
        <c:axPos val="b"/>
        <c:numFmt formatCode="0" sourceLinked="1"/>
        <c:majorTickMark val="none"/>
        <c:minorTickMark val="none"/>
        <c:tickLblPos val="nextTo"/>
        <c:txPr>
          <a:bodyPr rot="0" vert="horz"/>
          <a:lstStyle/>
          <a:p>
            <a:pPr>
              <a:defRPr sz="1000" b="1" i="0" u="none" strike="noStrike" baseline="0">
                <a:solidFill>
                  <a:srgbClr val="000000"/>
                </a:solidFill>
                <a:latin typeface="Calibri"/>
                <a:ea typeface="Calibri"/>
                <a:cs typeface="Calibri"/>
              </a:defRPr>
            </a:pPr>
            <a:endParaRPr lang="nl-NL"/>
          </a:p>
        </c:txPr>
        <c:crossAx val="446229832"/>
        <c:crosses val="autoZero"/>
        <c:auto val="1"/>
        <c:lblAlgn val="ctr"/>
        <c:lblOffset val="100"/>
        <c:noMultiLvlLbl val="0"/>
      </c:catAx>
      <c:valAx>
        <c:axId val="446229832"/>
        <c:scaling>
          <c:orientation val="minMax"/>
          <c:min val="0"/>
        </c:scaling>
        <c:delete val="0"/>
        <c:axPos val="l"/>
        <c:majorGridlines/>
        <c:numFmt formatCode="0.0%" sourceLinked="1"/>
        <c:majorTickMark val="none"/>
        <c:minorTickMark val="none"/>
        <c:tickLblPos val="nextTo"/>
        <c:txPr>
          <a:bodyPr rot="0" vert="horz"/>
          <a:lstStyle/>
          <a:p>
            <a:pPr>
              <a:defRPr sz="1000" b="1" i="0" u="none" strike="noStrike" baseline="0">
                <a:solidFill>
                  <a:srgbClr val="000000"/>
                </a:solidFill>
                <a:latin typeface="Calibri"/>
                <a:ea typeface="Calibri"/>
                <a:cs typeface="Calibri"/>
              </a:defRPr>
            </a:pPr>
            <a:endParaRPr lang="nl-NL"/>
          </a:p>
        </c:txPr>
        <c:crossAx val="446227872"/>
        <c:crosses val="autoZero"/>
        <c:crossBetween val="between"/>
      </c:valAx>
    </c:plotArea>
    <c:legend>
      <c:legendPos val="r"/>
      <c:layout>
        <c:manualLayout>
          <c:xMode val="edge"/>
          <c:yMode val="edge"/>
          <c:x val="0.6283112787985039"/>
          <c:y val="0.33796879556724174"/>
          <c:w val="0.26052811014282573"/>
          <c:h val="0.27545129775446175"/>
        </c:manualLayout>
      </c:layout>
      <c:overlay val="0"/>
      <c:txPr>
        <a:bodyPr/>
        <a:lstStyle/>
        <a:p>
          <a:pPr>
            <a:defRPr sz="920" b="0" i="0" u="none" strike="noStrike" baseline="0">
              <a:solidFill>
                <a:srgbClr val="000000"/>
              </a:solidFill>
              <a:latin typeface="Calibri"/>
              <a:ea typeface="Calibri"/>
              <a:cs typeface="Calibri"/>
            </a:defRPr>
          </a:pPr>
          <a:endParaRPr lang="nl-NL"/>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60963010905666"/>
          <c:y val="0.19190614985281731"/>
          <c:w val="0.52400373422709912"/>
          <c:h val="0.71582256637810493"/>
        </c:manualLayout>
      </c:layout>
      <c:barChart>
        <c:barDir val="col"/>
        <c:grouping val="clustered"/>
        <c:varyColors val="0"/>
        <c:ser>
          <c:idx val="0"/>
          <c:order val="0"/>
          <c:tx>
            <c:strRef>
              <c:f>Balansprognose!$E$42</c:f>
              <c:strCache>
                <c:ptCount val="1"/>
                <c:pt idx="0">
                  <c:v>Netto schuldquote (incl. uitgeleend geld)</c:v>
                </c:pt>
              </c:strCache>
            </c:strRef>
          </c:tx>
          <c:spPr>
            <a:solidFill>
              <a:srgbClr val="FF0000"/>
            </a:solidFill>
          </c:spPr>
          <c:invertIfNegative val="0"/>
          <c:cat>
            <c:strRef>
              <c:f>Balansprognose!$F$34:$G$34</c:f>
              <c:strCache>
                <c:ptCount val="2"/>
                <c:pt idx="0">
                  <c:v>Jaarrek. 2017</c:v>
                </c:pt>
                <c:pt idx="1">
                  <c:v>Begroting 2018</c:v>
                </c:pt>
              </c:strCache>
            </c:strRef>
          </c:cat>
          <c:val>
            <c:numRef>
              <c:f>Balansprognose!$F$42:$G$42</c:f>
              <c:numCache>
                <c:formatCode>0.0%</c:formatCode>
                <c:ptCount val="2"/>
                <c:pt idx="0">
                  <c:v>-3.6147393104522425E-2</c:v>
                </c:pt>
                <c:pt idx="1">
                  <c:v>-4.6080929938225532E-2</c:v>
                </c:pt>
              </c:numCache>
            </c:numRef>
          </c:val>
          <c:extLst xmlns:c16r2="http://schemas.microsoft.com/office/drawing/2015/06/chart">
            <c:ext xmlns:c16="http://schemas.microsoft.com/office/drawing/2014/chart" uri="{C3380CC4-5D6E-409C-BE32-E72D297353CC}">
              <c16:uniqueId val="{00000000-0896-46D8-8EBA-B72659604A68}"/>
            </c:ext>
          </c:extLst>
        </c:ser>
        <c:ser>
          <c:idx val="1"/>
          <c:order val="1"/>
          <c:tx>
            <c:strRef>
              <c:f>Balansprognose!$E$43</c:f>
              <c:strCache>
                <c:ptCount val="1"/>
                <c:pt idx="0">
                  <c:v>Uitleenquote</c:v>
                </c:pt>
              </c:strCache>
            </c:strRef>
          </c:tx>
          <c:spPr>
            <a:solidFill>
              <a:srgbClr val="92D050"/>
            </a:solidFill>
          </c:spPr>
          <c:invertIfNegative val="0"/>
          <c:cat>
            <c:strRef>
              <c:f>Balansprognose!$F$34:$G$34</c:f>
              <c:strCache>
                <c:ptCount val="2"/>
                <c:pt idx="0">
                  <c:v>Jaarrek. 2017</c:v>
                </c:pt>
                <c:pt idx="1">
                  <c:v>Begroting 2018</c:v>
                </c:pt>
              </c:strCache>
            </c:strRef>
          </c:cat>
          <c:val>
            <c:numRef>
              <c:f>Balansprognose!$F$43:$G$43</c:f>
              <c:numCache>
                <c:formatCode>0.0%</c:formatCode>
                <c:ptCount val="2"/>
                <c:pt idx="0">
                  <c:v>6.4896576489268276E-2</c:v>
                </c:pt>
                <c:pt idx="1">
                  <c:v>6.4896576489268276E-2</c:v>
                </c:pt>
              </c:numCache>
            </c:numRef>
          </c:val>
          <c:extLst xmlns:c16r2="http://schemas.microsoft.com/office/drawing/2015/06/chart">
            <c:ext xmlns:c16="http://schemas.microsoft.com/office/drawing/2014/chart" uri="{C3380CC4-5D6E-409C-BE32-E72D297353CC}">
              <c16:uniqueId val="{00000001-0896-46D8-8EBA-B72659604A68}"/>
            </c:ext>
          </c:extLst>
        </c:ser>
        <c:ser>
          <c:idx val="2"/>
          <c:order val="2"/>
          <c:tx>
            <c:strRef>
              <c:f>Balansprognose!$E$44</c:f>
              <c:strCache>
                <c:ptCount val="1"/>
                <c:pt idx="0">
                  <c:v>Voorraadquote (inclusief NIEG)</c:v>
                </c:pt>
              </c:strCache>
            </c:strRef>
          </c:tx>
          <c:spPr>
            <a:solidFill>
              <a:schemeClr val="tx2"/>
            </a:solidFill>
          </c:spPr>
          <c:invertIfNegative val="0"/>
          <c:cat>
            <c:strRef>
              <c:f>Balansprognose!$F$34:$G$34</c:f>
              <c:strCache>
                <c:ptCount val="2"/>
                <c:pt idx="0">
                  <c:v>Jaarrek. 2017</c:v>
                </c:pt>
                <c:pt idx="1">
                  <c:v>Begroting 2018</c:v>
                </c:pt>
              </c:strCache>
            </c:strRef>
          </c:cat>
          <c:val>
            <c:numRef>
              <c:f>Balansprognose!$F$44:$G$44</c:f>
              <c:numCache>
                <c:formatCode>0.0%</c:formatCode>
                <c:ptCount val="2"/>
                <c:pt idx="0">
                  <c:v>5.8320390071689085E-3</c:v>
                </c:pt>
                <c:pt idx="1">
                  <c:v>5.8320390071689085E-3</c:v>
                </c:pt>
              </c:numCache>
            </c:numRef>
          </c:val>
          <c:extLst xmlns:c16r2="http://schemas.microsoft.com/office/drawing/2015/06/chart">
            <c:ext xmlns:c16="http://schemas.microsoft.com/office/drawing/2014/chart" uri="{C3380CC4-5D6E-409C-BE32-E72D297353CC}">
              <c16:uniqueId val="{00000002-0896-46D8-8EBA-B72659604A68}"/>
            </c:ext>
          </c:extLst>
        </c:ser>
        <c:ser>
          <c:idx val="3"/>
          <c:order val="3"/>
          <c:tx>
            <c:strRef>
              <c:f>Balansprognose!$E$45</c:f>
              <c:strCache>
                <c:ptCount val="1"/>
                <c:pt idx="0">
                  <c:v>Effectieve netto schuldquote</c:v>
                </c:pt>
              </c:strCache>
            </c:strRef>
          </c:tx>
          <c:invertIfNegative val="0"/>
          <c:cat>
            <c:strRef>
              <c:f>Balansprognose!$F$34:$G$34</c:f>
              <c:strCache>
                <c:ptCount val="2"/>
                <c:pt idx="0">
                  <c:v>Jaarrek. 2017</c:v>
                </c:pt>
                <c:pt idx="1">
                  <c:v>Begroting 2018</c:v>
                </c:pt>
              </c:strCache>
            </c:strRef>
          </c:cat>
          <c:val>
            <c:numRef>
              <c:f>Balansprognose!$F$45:$G$45</c:f>
              <c:numCache>
                <c:formatCode>0.0%</c:formatCode>
                <c:ptCount val="2"/>
                <c:pt idx="0">
                  <c:v>-3.2267270060613404E-2</c:v>
                </c:pt>
                <c:pt idx="1">
                  <c:v>-4.2200806894316503E-2</c:v>
                </c:pt>
              </c:numCache>
            </c:numRef>
          </c:val>
          <c:extLst xmlns:c16r2="http://schemas.microsoft.com/office/drawing/2015/06/chart">
            <c:ext xmlns:c16="http://schemas.microsoft.com/office/drawing/2014/chart" uri="{C3380CC4-5D6E-409C-BE32-E72D297353CC}">
              <c16:uniqueId val="{00000000-271D-4241-B284-CDB302FE6DCE}"/>
            </c:ext>
          </c:extLst>
        </c:ser>
        <c:dLbls>
          <c:showLegendKey val="0"/>
          <c:showVal val="0"/>
          <c:showCatName val="0"/>
          <c:showSerName val="0"/>
          <c:showPercent val="0"/>
          <c:showBubbleSize val="0"/>
        </c:dLbls>
        <c:gapWidth val="150"/>
        <c:axId val="446228656"/>
        <c:axId val="446229048"/>
      </c:barChart>
      <c:catAx>
        <c:axId val="446228656"/>
        <c:scaling>
          <c:orientation val="minMax"/>
        </c:scaling>
        <c:delete val="0"/>
        <c:axPos val="b"/>
        <c:numFmt formatCode="General" sourceLinked="0"/>
        <c:majorTickMark val="out"/>
        <c:minorTickMark val="none"/>
        <c:tickLblPos val="nextTo"/>
        <c:txPr>
          <a:bodyPr/>
          <a:lstStyle/>
          <a:p>
            <a:pPr>
              <a:defRPr b="1"/>
            </a:pPr>
            <a:endParaRPr lang="nl-NL"/>
          </a:p>
        </c:txPr>
        <c:crossAx val="446229048"/>
        <c:crosses val="autoZero"/>
        <c:auto val="1"/>
        <c:lblAlgn val="ctr"/>
        <c:lblOffset val="100"/>
        <c:noMultiLvlLbl val="0"/>
      </c:catAx>
      <c:valAx>
        <c:axId val="446229048"/>
        <c:scaling>
          <c:orientation val="minMax"/>
        </c:scaling>
        <c:delete val="0"/>
        <c:axPos val="l"/>
        <c:majorGridlines/>
        <c:numFmt formatCode="0.0%" sourceLinked="1"/>
        <c:majorTickMark val="out"/>
        <c:minorTickMark val="none"/>
        <c:tickLblPos val="nextTo"/>
        <c:txPr>
          <a:bodyPr/>
          <a:lstStyle/>
          <a:p>
            <a:pPr>
              <a:defRPr b="1"/>
            </a:pPr>
            <a:endParaRPr lang="nl-NL"/>
          </a:p>
        </c:txPr>
        <c:crossAx val="446228656"/>
        <c:crosses val="autoZero"/>
        <c:crossBetween val="between"/>
      </c:valAx>
    </c:plotArea>
    <c:legend>
      <c:legendPos val="r"/>
      <c:overlay val="0"/>
    </c:legend>
    <c:plotVisOnly val="1"/>
    <c:dispBlanksAs val="gap"/>
    <c:showDLblsOverMax val="0"/>
  </c:chart>
  <c:spPr>
    <a:ln>
      <a:solidFill>
        <a:schemeClr val="tx1"/>
      </a:solidFill>
    </a:ln>
  </c:spPr>
  <c:printSettings>
    <c:headerFooter/>
    <c:pageMargins b="0.75000000000000577" l="0.70000000000000062" r="0.70000000000000062" t="0.75000000000000577"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nl-NL" sz="1100" b="1">
                <a:solidFill>
                  <a:schemeClr val="tx1"/>
                </a:solidFill>
              </a:rPr>
              <a:t>Ontwikkeling</a:t>
            </a:r>
            <a:r>
              <a:rPr lang="nl-NL" sz="1100" b="1" baseline="0">
                <a:solidFill>
                  <a:schemeClr val="tx1"/>
                </a:solidFill>
              </a:rPr>
              <a:t> liquiditeit eind 2017 - 2018</a:t>
            </a:r>
          </a:p>
        </c:rich>
      </c:tx>
      <c:layout>
        <c:manualLayout>
          <c:xMode val="edge"/>
          <c:yMode val="edge"/>
          <c:x val="0.4729471574080763"/>
          <c:y val="3.682487725040916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nl-NL"/>
        </a:p>
      </c:txPr>
    </c:title>
    <c:autoTitleDeleted val="0"/>
    <c:plotArea>
      <c:layout>
        <c:manualLayout>
          <c:layoutTarget val="inner"/>
          <c:xMode val="edge"/>
          <c:yMode val="edge"/>
          <c:x val="9.4699848298779171E-2"/>
          <c:y val="0.21563860667634252"/>
          <c:w val="0.49571949721881098"/>
          <c:h val="0.64648040638606674"/>
        </c:manualLayout>
      </c:layout>
      <c:barChart>
        <c:barDir val="col"/>
        <c:grouping val="clustered"/>
        <c:varyColors val="0"/>
        <c:ser>
          <c:idx val="0"/>
          <c:order val="0"/>
          <c:tx>
            <c:strRef>
              <c:f>Balansprognose!$E$40</c:f>
              <c:strCache>
                <c:ptCount val="1"/>
                <c:pt idx="0">
                  <c:v>Quick ratio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Balansprognose!$F$34:$G$34</c:f>
              <c:strCache>
                <c:ptCount val="2"/>
                <c:pt idx="0">
                  <c:v>Jaarrek. 2017</c:v>
                </c:pt>
                <c:pt idx="1">
                  <c:v>Begroting 2018</c:v>
                </c:pt>
              </c:strCache>
            </c:strRef>
          </c:cat>
          <c:val>
            <c:numRef>
              <c:f>Balansprognose!$F$40:$G$40</c:f>
              <c:numCache>
                <c:formatCode>0.0</c:formatCode>
                <c:ptCount val="2"/>
                <c:pt idx="0">
                  <c:v>3.4965198791294605</c:v>
                </c:pt>
                <c:pt idx="1">
                  <c:v>3.4965198791294605</c:v>
                </c:pt>
              </c:numCache>
            </c:numRef>
          </c:val>
          <c:extLst xmlns:c16r2="http://schemas.microsoft.com/office/drawing/2015/06/chart">
            <c:ext xmlns:c16="http://schemas.microsoft.com/office/drawing/2014/chart" uri="{C3380CC4-5D6E-409C-BE32-E72D297353CC}">
              <c16:uniqueId val="{00000000-6DA0-493A-A6DA-D7B4BFE53422}"/>
            </c:ext>
          </c:extLst>
        </c:ser>
        <c:ser>
          <c:idx val="1"/>
          <c:order val="1"/>
          <c:tx>
            <c:strRef>
              <c:f>Balansprognose!$E$41</c:f>
              <c:strCache>
                <c:ptCount val="1"/>
                <c:pt idx="0">
                  <c:v>Kortgeldratio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Balansprognose!$F$34:$G$34</c:f>
              <c:strCache>
                <c:ptCount val="2"/>
                <c:pt idx="0">
                  <c:v>Jaarrek. 2017</c:v>
                </c:pt>
                <c:pt idx="1">
                  <c:v>Begroting 2018</c:v>
                </c:pt>
              </c:strCache>
            </c:strRef>
          </c:cat>
          <c:val>
            <c:numRef>
              <c:f>Balansprognose!$F$41:$G$41</c:f>
              <c:numCache>
                <c:formatCode>0.0%</c:formatCode>
                <c:ptCount val="2"/>
                <c:pt idx="0">
                  <c:v>0</c:v>
                </c:pt>
                <c:pt idx="1">
                  <c:v>0</c:v>
                </c:pt>
              </c:numCache>
            </c:numRef>
          </c:val>
          <c:extLst xmlns:c16r2="http://schemas.microsoft.com/office/drawing/2015/06/chart">
            <c:ext xmlns:c16="http://schemas.microsoft.com/office/drawing/2014/chart" uri="{C3380CC4-5D6E-409C-BE32-E72D297353CC}">
              <c16:uniqueId val="{00000001-6DA0-493A-A6DA-D7B4BFE53422}"/>
            </c:ext>
          </c:extLst>
        </c:ser>
        <c:dLbls>
          <c:showLegendKey val="0"/>
          <c:showVal val="0"/>
          <c:showCatName val="0"/>
          <c:showSerName val="0"/>
          <c:showPercent val="0"/>
          <c:showBubbleSize val="0"/>
        </c:dLbls>
        <c:gapWidth val="219"/>
        <c:overlap val="-27"/>
        <c:axId val="446229440"/>
        <c:axId val="446231008"/>
      </c:barChart>
      <c:catAx>
        <c:axId val="4462294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nl-NL"/>
          </a:p>
        </c:txPr>
        <c:crossAx val="446231008"/>
        <c:crosses val="autoZero"/>
        <c:auto val="1"/>
        <c:lblAlgn val="ctr"/>
        <c:lblOffset val="100"/>
        <c:noMultiLvlLbl val="0"/>
      </c:catAx>
      <c:valAx>
        <c:axId val="446231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crossAx val="446229440"/>
        <c:crosses val="autoZero"/>
        <c:crossBetween val="between"/>
      </c:valAx>
      <c:spPr>
        <a:noFill/>
        <a:ln>
          <a:noFill/>
        </a:ln>
        <a:effectLst/>
      </c:spPr>
    </c:plotArea>
    <c:legend>
      <c:legendPos val="r"/>
      <c:layout>
        <c:manualLayout>
          <c:xMode val="edge"/>
          <c:yMode val="edge"/>
          <c:x val="0.67802734233908823"/>
          <c:y val="0.43123778613304686"/>
          <c:w val="0.26463320811962721"/>
          <c:h val="0.218910208792841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NL"/>
    </a:p>
  </c:txPr>
  <c:printSettings>
    <c:headerFooter/>
    <c:pageMargins b="0.75" l="0.7" r="0.7" t="0.75" header="0.3" footer="0.3"/>
    <c:pageSetup paperSize="9" orientation="landscape" horizontalDpi="-2" verticalDpi="0"/>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nl-NL">
                <a:solidFill>
                  <a:sysClr val="windowText" lastClr="000000"/>
                </a:solidFill>
              </a:rPr>
              <a:t>Inkomensmix 2018</a:t>
            </a:r>
          </a:p>
        </c:rich>
      </c:tx>
      <c:layout>
        <c:manualLayout>
          <c:xMode val="edge"/>
          <c:yMode val="edge"/>
          <c:x val="3.8973198772688622E-2"/>
          <c:y val="2.7777883632644319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nl-NL"/>
        </a:p>
      </c:txPr>
    </c:title>
    <c:autoTitleDeleted val="0"/>
    <c:plotArea>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0E0-49DF-91C2-E01F4DB707D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0E0-49DF-91C2-E01F4DB707D2}"/>
              </c:ext>
            </c:extLst>
          </c:dPt>
          <c:dPt>
            <c:idx val="2"/>
            <c:bubble3D val="0"/>
            <c:spPr>
              <a:solidFill>
                <a:schemeClr val="accent6">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2-17CE-4C2C-850B-612822A56A5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0E0-49DF-91C2-E01F4DB707D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E0E0-49DF-91C2-E01F4DB707D2}"/>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E0E0-49DF-91C2-E01F4DB707D2}"/>
              </c:ext>
            </c:extLst>
          </c:dPt>
          <c:dPt>
            <c:idx val="6"/>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7-17CE-4C2C-850B-612822A56A57}"/>
              </c:ext>
            </c:extLst>
          </c:dPt>
          <c:dPt>
            <c:idx val="7"/>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A-17CE-4C2C-850B-612822A56A57}"/>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E0E0-49DF-91C2-E01F4DB707D2}"/>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3-D6D2-416A-882E-2CCDFF32509A}"/>
              </c:ext>
            </c:extLst>
          </c:dPt>
          <c:cat>
            <c:strRef>
              <c:f>'Inkomsten &amp; uitgaven'!$P$2:$P$10</c:f>
              <c:strCache>
                <c:ptCount val="9"/>
                <c:pt idx="0">
                  <c:v>Rijksoverdrachten</c:v>
                </c:pt>
                <c:pt idx="1">
                  <c:v>OZB</c:v>
                </c:pt>
                <c:pt idx="2">
                  <c:v>Riool rechten</c:v>
                </c:pt>
                <c:pt idx="3">
                  <c:v>Afvalstoffenheffing</c:v>
                </c:pt>
                <c:pt idx="4">
                  <c:v>Bouwgrond </c:v>
                </c:pt>
                <c:pt idx="5">
                  <c:v>Overige belastingen</c:v>
                </c:pt>
                <c:pt idx="6">
                  <c:v>Overige rechten &amp; leges</c:v>
                </c:pt>
                <c:pt idx="7">
                  <c:v>Rente en dividend</c:v>
                </c:pt>
                <c:pt idx="8">
                  <c:v>Overige eigen inkomsten</c:v>
                </c:pt>
              </c:strCache>
            </c:strRef>
          </c:cat>
          <c:val>
            <c:numRef>
              <c:f>'Inkomsten &amp; uitgaven'!$Q$2:$Q$10</c:f>
              <c:numCache>
                <c:formatCode>0.0%</c:formatCode>
                <c:ptCount val="9"/>
                <c:pt idx="0">
                  <c:v>0.52178547418403154</c:v>
                </c:pt>
                <c:pt idx="1">
                  <c:v>8.956592843205545E-2</c:v>
                </c:pt>
                <c:pt idx="2">
                  <c:v>3.7077577367535274E-2</c:v>
                </c:pt>
                <c:pt idx="3">
                  <c:v>3.6874234761202232E-2</c:v>
                </c:pt>
                <c:pt idx="4">
                  <c:v>0</c:v>
                </c:pt>
                <c:pt idx="5">
                  <c:v>1.2066436788571281E-2</c:v>
                </c:pt>
                <c:pt idx="6">
                  <c:v>3.3339534561753419E-2</c:v>
                </c:pt>
                <c:pt idx="7">
                  <c:v>6.09818159792677E-3</c:v>
                </c:pt>
                <c:pt idx="8">
                  <c:v>0.26319263230692408</c:v>
                </c:pt>
              </c:numCache>
            </c:numRef>
          </c:val>
          <c:extLst xmlns:c16r2="http://schemas.microsoft.com/office/drawing/2015/06/chart">
            <c:ext xmlns:c16="http://schemas.microsoft.com/office/drawing/2014/chart" uri="{C3380CC4-5D6E-409C-BE32-E72D297353CC}">
              <c16:uniqueId val="{00000000-17CE-4C2C-850B-612822A56A57}"/>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2207419</xdr:colOff>
      <xdr:row>21</xdr:row>
      <xdr:rowOff>154781</xdr:rowOff>
    </xdr:from>
    <xdr:to>
      <xdr:col>10</xdr:col>
      <xdr:colOff>1023938</xdr:colOff>
      <xdr:row>43</xdr:row>
      <xdr:rowOff>107156</xdr:rowOff>
    </xdr:to>
    <xdr:graphicFrame macro="">
      <xdr:nvGraphicFramePr>
        <xdr:cNvPr id="4135" name="Grafiek 2">
          <a:extLst>
            <a:ext uri="{FF2B5EF4-FFF2-40B4-BE49-F238E27FC236}">
              <a16:creationId xmlns:a16="http://schemas.microsoft.com/office/drawing/2014/main" xmlns="" id="{00000000-0008-0000-0000-000027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21</xdr:row>
      <xdr:rowOff>152400</xdr:rowOff>
    </xdr:from>
    <xdr:to>
      <xdr:col>5</xdr:col>
      <xdr:colOff>1607343</xdr:colOff>
      <xdr:row>43</xdr:row>
      <xdr:rowOff>95249</xdr:rowOff>
    </xdr:to>
    <xdr:graphicFrame macro="">
      <xdr:nvGraphicFramePr>
        <xdr:cNvPr id="6" name="Grafiek 3">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272555</xdr:colOff>
      <xdr:row>45</xdr:row>
      <xdr:rowOff>119063</xdr:rowOff>
    </xdr:from>
    <xdr:to>
      <xdr:col>5</xdr:col>
      <xdr:colOff>1566154</xdr:colOff>
      <xdr:row>66</xdr:row>
      <xdr:rowOff>142876</xdr:rowOff>
    </xdr:to>
    <xdr:graphicFrame macro="">
      <xdr:nvGraphicFramePr>
        <xdr:cNvPr id="2" name="Grafiek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0.45681</cdr:x>
      <cdr:y>0.03831</cdr:y>
    </cdr:from>
    <cdr:to>
      <cdr:x>0.98935</cdr:x>
      <cdr:y>0.11824</cdr:y>
    </cdr:to>
    <cdr:sp macro="" textlink="">
      <cdr:nvSpPr>
        <cdr:cNvPr id="2" name="Tekstvak 1">
          <a:extLst xmlns:a="http://schemas.openxmlformats.org/drawingml/2006/main">
            <a:ext uri="{FF2B5EF4-FFF2-40B4-BE49-F238E27FC236}">
              <a16:creationId xmlns:a16="http://schemas.microsoft.com/office/drawing/2014/main" xmlns="" id="{A1D3C591-34F5-4C9B-ADD4-2BFA2A519C1A}"/>
            </a:ext>
          </a:extLst>
        </cdr:cNvPr>
        <cdr:cNvSpPr txBox="1"/>
      </cdr:nvSpPr>
      <cdr:spPr>
        <a:xfrm xmlns:a="http://schemas.openxmlformats.org/drawingml/2006/main">
          <a:off x="2858676" y="135009"/>
          <a:ext cx="3332574" cy="2817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100" b="1"/>
            <a:t>Ontwikkeling netto schuldquote eind 2017-2027</a:t>
          </a:r>
        </a:p>
      </cdr:txBody>
    </cdr:sp>
  </cdr:relSizeAnchor>
</c:userShapes>
</file>

<file path=xl/drawings/drawing3.xml><?xml version="1.0" encoding="utf-8"?>
<c:userShapes xmlns:c="http://schemas.openxmlformats.org/drawingml/2006/chart">
  <cdr:relSizeAnchor xmlns:cdr="http://schemas.openxmlformats.org/drawingml/2006/chartDrawing">
    <cdr:from>
      <cdr:x>0.03065</cdr:x>
      <cdr:y>0.03327</cdr:y>
    </cdr:from>
    <cdr:to>
      <cdr:x>0.37098</cdr:x>
      <cdr:y>0.10847</cdr:y>
    </cdr:to>
    <cdr:sp macro="" textlink="Macrogegevens!$C$2">
      <cdr:nvSpPr>
        <cdr:cNvPr id="2" name="Tekstvak 1">
          <a:extLst xmlns:a="http://schemas.openxmlformats.org/drawingml/2006/main">
            <a:ext uri="{FF2B5EF4-FFF2-40B4-BE49-F238E27FC236}">
              <a16:creationId xmlns:a16="http://schemas.microsoft.com/office/drawing/2014/main" xmlns="" id="{7D2C9AF5-3337-4D61-B6A5-5549FDC43714}"/>
            </a:ext>
          </a:extLst>
        </cdr:cNvPr>
        <cdr:cNvSpPr txBox="1"/>
      </cdr:nvSpPr>
      <cdr:spPr>
        <a:xfrm xmlns:a="http://schemas.openxmlformats.org/drawingml/2006/main">
          <a:off x="193251" y="120183"/>
          <a:ext cx="2145967" cy="271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274D085-B9FA-4CAF-A9DB-7A33D350A29D}" type="TxLink">
            <a:rPr lang="en-US" sz="1100" b="1" i="0" u="none" strike="noStrike">
              <a:solidFill>
                <a:srgbClr val="000000"/>
              </a:solidFill>
              <a:latin typeface="+mn-lt"/>
              <a:cs typeface="Arial"/>
            </a:rPr>
            <a:pPr/>
            <a:t>Amstelveen</a:t>
          </a:fld>
          <a:endParaRPr lang="nl-NL" sz="1100">
            <a:latin typeface="+mn-lt"/>
          </a:endParaRPr>
        </a:p>
      </cdr:txBody>
    </cdr:sp>
  </cdr:relSizeAnchor>
  <cdr:relSizeAnchor xmlns:cdr="http://schemas.openxmlformats.org/drawingml/2006/chartDrawing">
    <cdr:from>
      <cdr:x>0.50084</cdr:x>
      <cdr:y>0.02852</cdr:y>
    </cdr:from>
    <cdr:to>
      <cdr:x>0.98397</cdr:x>
      <cdr:y>0.08324</cdr:y>
    </cdr:to>
    <cdr:sp macro="" textlink="">
      <cdr:nvSpPr>
        <cdr:cNvPr id="3" name="Tekstvak 2">
          <a:extLst xmlns:a="http://schemas.openxmlformats.org/drawingml/2006/main">
            <a:ext uri="{FF2B5EF4-FFF2-40B4-BE49-F238E27FC236}">
              <a16:creationId xmlns:a16="http://schemas.microsoft.com/office/drawing/2014/main" xmlns="" id="{F9B312E0-0D2B-4E7C-9C80-4412F6514AFE}"/>
            </a:ext>
          </a:extLst>
        </cdr:cNvPr>
        <cdr:cNvSpPr txBox="1"/>
      </cdr:nvSpPr>
      <cdr:spPr>
        <a:xfrm xmlns:a="http://schemas.openxmlformats.org/drawingml/2006/main">
          <a:off x="3158101" y="103037"/>
          <a:ext cx="3046400" cy="1976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indent="0"/>
          <a:r>
            <a:rPr lang="nl-NL" sz="1100" b="1">
              <a:latin typeface="+mn-lt"/>
              <a:ea typeface="+mn-ea"/>
              <a:cs typeface="+mn-cs"/>
            </a:rPr>
            <a:t>kengetallen houdbaarheid 2016 - 2017 - 2018</a:t>
          </a:r>
        </a:p>
        <a:p xmlns:a="http://schemas.openxmlformats.org/drawingml/2006/main">
          <a:pPr marL="0" indent="0"/>
          <a:endParaRPr lang="nl-NL" sz="1100" b="1">
            <a:latin typeface="+mn-lt"/>
            <a:ea typeface="+mn-ea"/>
            <a:cs typeface="+mn-cs"/>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328930</xdr:colOff>
      <xdr:row>0</xdr:row>
      <xdr:rowOff>163195</xdr:rowOff>
    </xdr:from>
    <xdr:to>
      <xdr:col>16</xdr:col>
      <xdr:colOff>195580</xdr:colOff>
      <xdr:row>17</xdr:row>
      <xdr:rowOff>153670</xdr:rowOff>
    </xdr:to>
    <xdr:graphicFrame macro="">
      <xdr:nvGraphicFramePr>
        <xdr:cNvPr id="2061" name="Grafiek 1">
          <a:extLst>
            <a:ext uri="{FF2B5EF4-FFF2-40B4-BE49-F238E27FC236}">
              <a16:creationId xmlns:a16="http://schemas.microsoft.com/office/drawing/2014/main" xmlns="" id="{00000000-0008-0000-0100-00000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339090</xdr:colOff>
      <xdr:row>18</xdr:row>
      <xdr:rowOff>132080</xdr:rowOff>
    </xdr:from>
    <xdr:to>
      <xdr:col>18</xdr:col>
      <xdr:colOff>0</xdr:colOff>
      <xdr:row>40</xdr:row>
      <xdr:rowOff>6985</xdr:rowOff>
    </xdr:to>
    <xdr:graphicFrame macro="">
      <xdr:nvGraphicFramePr>
        <xdr:cNvPr id="2" name="Grafiek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345440</xdr:colOff>
      <xdr:row>41</xdr:row>
      <xdr:rowOff>55880</xdr:rowOff>
    </xdr:from>
    <xdr:to>
      <xdr:col>18</xdr:col>
      <xdr:colOff>22860</xdr:colOff>
      <xdr:row>61</xdr:row>
      <xdr:rowOff>101600</xdr:rowOff>
    </xdr:to>
    <xdr:graphicFrame macro="">
      <xdr:nvGraphicFramePr>
        <xdr:cNvPr id="3" name="Grafiek 2">
          <a:extLst>
            <a:ext uri="{FF2B5EF4-FFF2-40B4-BE49-F238E27FC236}">
              <a16:creationId xmlns:a16="http://schemas.microsoft.com/office/drawing/2014/main" xmlns=""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0.02431</cdr:x>
      <cdr:y>0.01736</cdr:y>
    </cdr:from>
    <cdr:to>
      <cdr:x>0.38194</cdr:x>
      <cdr:y>0.09028</cdr:y>
    </cdr:to>
    <cdr:sp macro="" textlink="Macrogegevens!$C$2">
      <cdr:nvSpPr>
        <cdr:cNvPr id="4" name="Tekstvak 3">
          <a:extLst xmlns:a="http://schemas.openxmlformats.org/drawingml/2006/main">
            <a:ext uri="{FF2B5EF4-FFF2-40B4-BE49-F238E27FC236}">
              <a16:creationId xmlns:a16="http://schemas.microsoft.com/office/drawing/2014/main" xmlns="" id="{0A1A0206-4226-4F50-B439-E2CD4E31D205}"/>
            </a:ext>
          </a:extLst>
        </cdr:cNvPr>
        <cdr:cNvSpPr txBox="1"/>
      </cdr:nvSpPr>
      <cdr:spPr>
        <a:xfrm xmlns:a="http://schemas.openxmlformats.org/drawingml/2006/main">
          <a:off x="133352" y="47625"/>
          <a:ext cx="1962150"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C463A941-0D9B-472A-8F06-3112169CB947}" type="TxLink">
            <a:rPr lang="en-US" sz="1100" b="1" i="0" u="none" strike="noStrike">
              <a:solidFill>
                <a:srgbClr val="000000"/>
              </a:solidFill>
              <a:latin typeface="+mn-lt"/>
            </a:rPr>
            <a:pPr/>
            <a:t>Amstelveen</a:t>
          </a:fld>
          <a:endParaRPr lang="nl-NL" sz="1100">
            <a:latin typeface="+mn-l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0.0097</cdr:x>
      <cdr:y>0.0221</cdr:y>
    </cdr:from>
    <cdr:to>
      <cdr:x>0.37513</cdr:x>
      <cdr:y>0.08564</cdr:y>
    </cdr:to>
    <cdr:sp macro="" textlink="">
      <cdr:nvSpPr>
        <cdr:cNvPr id="2" name="Tekstvak 1">
          <a:extLst xmlns:a="http://schemas.openxmlformats.org/drawingml/2006/main">
            <a:ext uri="{FF2B5EF4-FFF2-40B4-BE49-F238E27FC236}">
              <a16:creationId xmlns:a16="http://schemas.microsoft.com/office/drawing/2014/main" xmlns="" id="{1F2B7C3E-37EF-401A-B059-BDFE70A796CB}"/>
            </a:ext>
          </a:extLst>
        </cdr:cNvPr>
        <cdr:cNvSpPr txBox="1"/>
      </cdr:nvSpPr>
      <cdr:spPr>
        <a:xfrm xmlns:a="http://schemas.openxmlformats.org/drawingml/2006/main">
          <a:off x="50800" y="76200"/>
          <a:ext cx="1914411" cy="2190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i="0" u="none" strike="noStrike">
            <a:solidFill>
              <a:srgbClr val="000000"/>
            </a:solidFill>
            <a:latin typeface="Arialri"/>
          </a:endParaRPr>
        </a:p>
        <a:p xmlns:a="http://schemas.openxmlformats.org/drawingml/2006/main">
          <a:endParaRPr lang="en-US" sz="1000" b="1" i="0" u="none" strike="noStrike">
            <a:solidFill>
              <a:srgbClr val="000000"/>
            </a:solidFill>
            <a:latin typeface="Arialri"/>
          </a:endParaRPr>
        </a:p>
      </cdr:txBody>
    </cdr:sp>
  </cdr:relSizeAnchor>
  <cdr:relSizeAnchor xmlns:cdr="http://schemas.openxmlformats.org/drawingml/2006/chartDrawing">
    <cdr:from>
      <cdr:x>0.03487</cdr:x>
      <cdr:y>0.04147</cdr:y>
    </cdr:from>
    <cdr:to>
      <cdr:x>0.3925</cdr:x>
      <cdr:y>0.09955</cdr:y>
    </cdr:to>
    <cdr:sp macro="" textlink="">
      <cdr:nvSpPr>
        <cdr:cNvPr id="3" name="Tekstvak 1">
          <a:extLst xmlns:a="http://schemas.openxmlformats.org/drawingml/2006/main">
            <a:ext uri="{FF2B5EF4-FFF2-40B4-BE49-F238E27FC236}">
              <a16:creationId xmlns:a16="http://schemas.microsoft.com/office/drawing/2014/main" xmlns="" id="{A3FF8521-9632-4569-8A9E-19D58ADB06C4}"/>
            </a:ext>
          </a:extLst>
        </cdr:cNvPr>
        <cdr:cNvSpPr txBox="1"/>
      </cdr:nvSpPr>
      <cdr:spPr>
        <a:xfrm xmlns:a="http://schemas.openxmlformats.org/drawingml/2006/main">
          <a:off x="193040" y="152400"/>
          <a:ext cx="1979815" cy="213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nl-NL" sz="1100">
            <a:latin typeface="Calibri"/>
          </a:endParaRPr>
        </a:p>
      </cdr:txBody>
    </cdr:sp>
  </cdr:relSizeAnchor>
  <cdr:relSizeAnchor xmlns:cdr="http://schemas.openxmlformats.org/drawingml/2006/chartDrawing">
    <cdr:from>
      <cdr:x>0.4306</cdr:x>
      <cdr:y>0.03318</cdr:y>
    </cdr:from>
    <cdr:to>
      <cdr:x>0.62881</cdr:x>
      <cdr:y>0.10783</cdr:y>
    </cdr:to>
    <cdr:sp macro="" textlink="">
      <cdr:nvSpPr>
        <cdr:cNvPr id="4" name="Tekstvak 3">
          <a:extLst xmlns:a="http://schemas.openxmlformats.org/drawingml/2006/main">
            <a:ext uri="{FF2B5EF4-FFF2-40B4-BE49-F238E27FC236}">
              <a16:creationId xmlns:a16="http://schemas.microsoft.com/office/drawing/2014/main" xmlns="" id="{64218DF5-9DC8-4FF6-9DC1-D948BB4021D4}"/>
            </a:ext>
          </a:extLst>
        </cdr:cNvPr>
        <cdr:cNvSpPr txBox="1"/>
      </cdr:nvSpPr>
      <cdr:spPr>
        <a:xfrm xmlns:a="http://schemas.openxmlformats.org/drawingml/2006/main">
          <a:off x="2383790" y="121920"/>
          <a:ext cx="1097280" cy="27432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nl-NL" sz="1100"/>
        </a:p>
      </cdr:txBody>
    </cdr:sp>
  </cdr:relSizeAnchor>
  <cdr:relSizeAnchor xmlns:cdr="http://schemas.openxmlformats.org/drawingml/2006/chartDrawing">
    <cdr:from>
      <cdr:x>0.42094</cdr:x>
      <cdr:y>0.03871</cdr:y>
    </cdr:from>
    <cdr:to>
      <cdr:x>0.94032</cdr:x>
      <cdr:y>0.10783</cdr:y>
    </cdr:to>
    <cdr:sp macro="" textlink="">
      <cdr:nvSpPr>
        <cdr:cNvPr id="5" name="Tekstvak 4">
          <a:extLst xmlns:a="http://schemas.openxmlformats.org/drawingml/2006/main">
            <a:ext uri="{FF2B5EF4-FFF2-40B4-BE49-F238E27FC236}">
              <a16:creationId xmlns:a16="http://schemas.microsoft.com/office/drawing/2014/main" xmlns="" id="{9BDD626D-ABB1-4EDE-BC9C-916A868C568C}"/>
            </a:ext>
          </a:extLst>
        </cdr:cNvPr>
        <cdr:cNvSpPr txBox="1"/>
      </cdr:nvSpPr>
      <cdr:spPr>
        <a:xfrm xmlns:a="http://schemas.openxmlformats.org/drawingml/2006/main">
          <a:off x="2253288" y="135760"/>
          <a:ext cx="2780266" cy="24241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nl-NL" sz="1100" b="1">
              <a:latin typeface="+mn-lt"/>
              <a:ea typeface="+mn-ea"/>
              <a:cs typeface="+mn-cs"/>
            </a:rPr>
            <a:t>Ontwikkeling</a:t>
          </a:r>
          <a:r>
            <a:rPr lang="nl-NL" sz="1100" b="1"/>
            <a:t> schuldendruk  eind 2017 - 2018</a:t>
          </a:r>
        </a:p>
      </cdr:txBody>
    </cdr:sp>
  </cdr:relSizeAnchor>
  <cdr:relSizeAnchor xmlns:cdr="http://schemas.openxmlformats.org/drawingml/2006/chartDrawing">
    <cdr:from>
      <cdr:x>0.04588</cdr:x>
      <cdr:y>0.04976</cdr:y>
    </cdr:from>
    <cdr:to>
      <cdr:x>0.40351</cdr:x>
      <cdr:y>0.10784</cdr:y>
    </cdr:to>
    <cdr:sp macro="" textlink="Macrogegevens!$C$2">
      <cdr:nvSpPr>
        <cdr:cNvPr id="9" name="Tekstvak 1">
          <a:extLst xmlns:a="http://schemas.openxmlformats.org/drawingml/2006/main">
            <a:ext uri="{FF2B5EF4-FFF2-40B4-BE49-F238E27FC236}">
              <a16:creationId xmlns:a16="http://schemas.microsoft.com/office/drawing/2014/main" xmlns="" id="{3FC3FCF2-5996-4575-A911-8DB70F490BC9}"/>
            </a:ext>
          </a:extLst>
        </cdr:cNvPr>
        <cdr:cNvSpPr txBox="1"/>
      </cdr:nvSpPr>
      <cdr:spPr>
        <a:xfrm xmlns:a="http://schemas.openxmlformats.org/drawingml/2006/main">
          <a:off x="253988" y="182869"/>
          <a:ext cx="1979815" cy="2134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83DEA5E-274B-45FA-884D-FF4B5D54D5D1}" type="TxLink">
            <a:rPr lang="en-US" sz="1000" b="1" i="0" u="none" strike="noStrike">
              <a:solidFill>
                <a:srgbClr val="000000"/>
              </a:solidFill>
              <a:latin typeface="Arial"/>
              <a:cs typeface="Arial"/>
            </a:rPr>
            <a:pPr/>
            <a:t>Amstelveen</a:t>
          </a:fld>
          <a:endParaRPr lang="nl-NL" sz="1100">
            <a:latin typeface="+mn-lt"/>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0.03303</cdr:x>
      <cdr:y>0.03774</cdr:y>
    </cdr:from>
    <cdr:to>
      <cdr:x>0.39058</cdr:x>
      <cdr:y>0.09871</cdr:y>
    </cdr:to>
    <cdr:sp macro="" textlink="Macrogegevens!$C$2">
      <cdr:nvSpPr>
        <cdr:cNvPr id="3" name="Tekstvak 1">
          <a:extLst xmlns:a="http://schemas.openxmlformats.org/drawingml/2006/main">
            <a:ext uri="{FF2B5EF4-FFF2-40B4-BE49-F238E27FC236}">
              <a16:creationId xmlns:a16="http://schemas.microsoft.com/office/drawing/2014/main" xmlns="" id="{1A0FE1EA-9B64-4D78-A462-C93BDDEA0EA0}"/>
            </a:ext>
          </a:extLst>
        </cdr:cNvPr>
        <cdr:cNvSpPr txBox="1"/>
      </cdr:nvSpPr>
      <cdr:spPr>
        <a:xfrm xmlns:a="http://schemas.openxmlformats.org/drawingml/2006/main">
          <a:off x="182880" y="132080"/>
          <a:ext cx="1979815" cy="2134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FAAC861-D8DB-4D6B-8963-4A079320218F}" type="TxLink">
            <a:rPr lang="en-US" sz="1000" b="1" i="0" u="none" strike="noStrike">
              <a:solidFill>
                <a:srgbClr val="000000"/>
              </a:solidFill>
              <a:latin typeface="Arial"/>
              <a:cs typeface="Arial"/>
            </a:rPr>
            <a:pPr/>
            <a:t>Amstelveen</a:t>
          </a:fld>
          <a:endParaRPr lang="nl-NL" sz="1100">
            <a:latin typeface="+mn-lt"/>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14</xdr:col>
      <xdr:colOff>1266825</xdr:colOff>
      <xdr:row>11</xdr:row>
      <xdr:rowOff>28575</xdr:rowOff>
    </xdr:from>
    <xdr:to>
      <xdr:col>18</xdr:col>
      <xdr:colOff>114300</xdr:colOff>
      <xdr:row>26</xdr:row>
      <xdr:rowOff>42863</xdr:rowOff>
    </xdr:to>
    <xdr:graphicFrame macro="">
      <xdr:nvGraphicFramePr>
        <xdr:cNvPr id="2" name="Grafiek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7"/>
  <sheetViews>
    <sheetView showGridLines="0" tabSelected="1" zoomScaleNormal="100" workbookViewId="0">
      <selection activeCell="C2" sqref="C2"/>
    </sheetView>
  </sheetViews>
  <sheetFormatPr defaultColWidth="9.140625" defaultRowHeight="12.75" x14ac:dyDescent="0.2"/>
  <cols>
    <col min="1" max="1" width="4" style="16" bestFit="1" customWidth="1"/>
    <col min="2" max="2" width="44.7109375" style="16" bestFit="1" customWidth="1"/>
    <col min="3" max="3" width="18.7109375" style="16" customWidth="1"/>
    <col min="4" max="4" width="4.42578125" style="16" customWidth="1"/>
    <col min="5" max="5" width="4" style="16" bestFit="1" customWidth="1"/>
    <col min="6" max="6" width="56.28515625" style="16" bestFit="1" customWidth="1"/>
    <col min="7" max="7" width="18.7109375" style="16" customWidth="1"/>
    <col min="8" max="8" width="17.7109375" style="3" customWidth="1"/>
    <col min="9" max="9" width="11.28515625" style="3" customWidth="1"/>
    <col min="10" max="10" width="6" style="5" customWidth="1"/>
    <col min="11" max="11" width="20.140625" style="5" customWidth="1"/>
    <col min="12" max="12" width="21.28515625" style="3" customWidth="1"/>
    <col min="13" max="13" width="22" style="5" customWidth="1"/>
    <col min="14" max="14" width="20.28515625" style="5" customWidth="1"/>
    <col min="15" max="15" width="21.85546875" style="5" customWidth="1"/>
    <col min="16" max="16" width="17" style="3" hidden="1" customWidth="1"/>
    <col min="17" max="17" width="16.42578125" style="3" hidden="1" customWidth="1"/>
    <col min="18" max="18" width="15.140625" style="3" hidden="1" customWidth="1"/>
    <col min="19" max="19" width="20" style="3" customWidth="1"/>
    <col min="20" max="20" width="18.85546875" style="3" customWidth="1"/>
    <col min="21" max="21" width="17.7109375" style="3" customWidth="1"/>
    <col min="22" max="22" width="21.7109375" style="3" customWidth="1"/>
    <col min="23" max="23" width="19.5703125" style="3" bestFit="1" customWidth="1"/>
    <col min="24" max="24" width="23.42578125" style="3" bestFit="1" customWidth="1"/>
    <col min="25" max="25" width="18.7109375" style="3" customWidth="1"/>
    <col min="26" max="26" width="14.85546875" style="3" hidden="1" customWidth="1"/>
    <col min="27" max="27" width="20.140625" style="16" hidden="1" customWidth="1"/>
    <col min="28" max="28" width="19.28515625" style="3" hidden="1" customWidth="1"/>
    <col min="29" max="29" width="31.5703125" style="241" hidden="1" customWidth="1"/>
    <col min="30" max="30" width="25" style="16" customWidth="1"/>
    <col min="31" max="31" width="15" style="16" bestFit="1" customWidth="1"/>
    <col min="32" max="32" width="13.42578125" style="16" bestFit="1" customWidth="1"/>
    <col min="33" max="33" width="12.7109375" style="16" customWidth="1"/>
    <col min="34" max="34" width="9.140625" style="16" customWidth="1"/>
    <col min="35" max="35" width="17.140625" style="16" customWidth="1"/>
    <col min="36" max="36" width="11.7109375" style="16" customWidth="1"/>
    <col min="37" max="16384" width="9.140625" style="16"/>
  </cols>
  <sheetData>
    <row r="1" spans="1:36" x14ac:dyDescent="0.2">
      <c r="A1" s="292" t="s">
        <v>114</v>
      </c>
      <c r="B1" s="292"/>
      <c r="C1" s="48">
        <v>2018</v>
      </c>
      <c r="J1" s="94"/>
      <c r="K1" s="94"/>
      <c r="L1" s="95"/>
      <c r="M1" s="94"/>
      <c r="N1" s="94"/>
      <c r="O1" s="94"/>
      <c r="P1" s="95"/>
      <c r="Q1" s="95"/>
      <c r="R1" s="95"/>
      <c r="S1" s="95"/>
      <c r="T1" s="95"/>
      <c r="U1" s="95"/>
      <c r="V1" s="95"/>
      <c r="W1" s="95"/>
      <c r="X1" s="95"/>
      <c r="Y1" s="95"/>
      <c r="Z1" s="95"/>
      <c r="AA1" s="96"/>
    </row>
    <row r="2" spans="1:36" x14ac:dyDescent="0.2">
      <c r="A2" s="55" t="s">
        <v>98</v>
      </c>
      <c r="B2" s="49"/>
      <c r="C2" s="80" t="s">
        <v>303</v>
      </c>
      <c r="E2" s="291" t="s">
        <v>561</v>
      </c>
      <c r="F2" s="291"/>
      <c r="G2" s="78" t="s">
        <v>905</v>
      </c>
      <c r="H2" s="79" t="s">
        <v>103</v>
      </c>
      <c r="I2" s="146" t="s">
        <v>557</v>
      </c>
      <c r="J2" s="1" t="s">
        <v>532</v>
      </c>
      <c r="K2" s="95"/>
      <c r="L2" s="95"/>
      <c r="M2" s="95"/>
      <c r="N2" s="95"/>
      <c r="O2" s="95"/>
      <c r="P2" s="95"/>
      <c r="Q2" s="95"/>
      <c r="R2" s="95"/>
      <c r="S2" s="95"/>
      <c r="T2" s="95"/>
      <c r="U2" s="95"/>
      <c r="V2" s="95"/>
      <c r="W2" s="95"/>
      <c r="X2" s="95"/>
      <c r="Y2" s="95"/>
      <c r="Z2" s="95"/>
      <c r="AA2" s="95"/>
      <c r="AC2" s="242" t="s">
        <v>135</v>
      </c>
      <c r="AE2" s="48"/>
    </row>
    <row r="3" spans="1:36" x14ac:dyDescent="0.2">
      <c r="A3" s="291" t="s">
        <v>677</v>
      </c>
      <c r="B3" s="291"/>
      <c r="C3" s="66" t="s">
        <v>785</v>
      </c>
      <c r="D3" s="66"/>
      <c r="E3" s="49">
        <v>1</v>
      </c>
      <c r="F3" s="49" t="s">
        <v>814</v>
      </c>
      <c r="G3" s="137">
        <f>IF($G$2="Slechtweer",12%,$AC$3)</f>
        <v>0.12</v>
      </c>
      <c r="H3" s="50"/>
      <c r="I3" s="147">
        <v>0</v>
      </c>
      <c r="J3" s="233" t="s">
        <v>23</v>
      </c>
      <c r="K3" s="233" t="s">
        <v>62</v>
      </c>
      <c r="L3" s="233" t="s">
        <v>22</v>
      </c>
      <c r="M3" s="233" t="s">
        <v>132</v>
      </c>
      <c r="N3" s="233" t="s">
        <v>573</v>
      </c>
      <c r="O3" s="233" t="s">
        <v>530</v>
      </c>
      <c r="P3" s="95"/>
      <c r="Q3" s="95"/>
      <c r="R3" s="95"/>
      <c r="S3" s="64" t="s">
        <v>558</v>
      </c>
      <c r="T3" s="232" t="s">
        <v>595</v>
      </c>
      <c r="U3" s="97" t="s">
        <v>625</v>
      </c>
      <c r="V3" s="97" t="s">
        <v>63</v>
      </c>
      <c r="W3" s="233" t="s">
        <v>549</v>
      </c>
      <c r="X3" s="233" t="s">
        <v>131</v>
      </c>
      <c r="Y3" s="233" t="s">
        <v>97</v>
      </c>
      <c r="Z3" s="233"/>
      <c r="AA3" s="232"/>
      <c r="AB3" s="64"/>
      <c r="AC3" s="241">
        <f>IF(G2="Handmatig",I3,0%)</f>
        <v>0</v>
      </c>
    </row>
    <row r="4" spans="1:36" x14ac:dyDescent="0.2">
      <c r="A4" s="49">
        <v>1</v>
      </c>
      <c r="B4" s="49" t="s">
        <v>710</v>
      </c>
      <c r="C4" s="56">
        <v>1.7000000000000001E-2</v>
      </c>
      <c r="D4" s="20"/>
      <c r="E4" s="49">
        <v>2</v>
      </c>
      <c r="F4" s="49" t="s">
        <v>815</v>
      </c>
      <c r="G4" s="137">
        <f>IF($G$2="Slechtweer",12%,$AC$4)</f>
        <v>0.12</v>
      </c>
      <c r="H4" s="50"/>
      <c r="I4" s="52">
        <v>0</v>
      </c>
      <c r="J4" s="98">
        <f>SUM(C1,-1)</f>
        <v>2017</v>
      </c>
      <c r="K4" s="99">
        <f>S4/Balansprognose!F35*-1</f>
        <v>-3.6147393104522425E-2</v>
      </c>
      <c r="L4" s="178">
        <f>Balansprognose!F35</f>
        <v>231137000</v>
      </c>
      <c r="M4" s="284" t="s">
        <v>134</v>
      </c>
      <c r="N4" s="284" t="s">
        <v>576</v>
      </c>
      <c r="O4" s="284" t="s">
        <v>133</v>
      </c>
      <c r="P4" s="95" t="s">
        <v>70</v>
      </c>
      <c r="Q4" s="95" t="s">
        <v>71</v>
      </c>
      <c r="R4" s="95" t="s">
        <v>72</v>
      </c>
      <c r="S4" s="24">
        <f>SUM('Investeringen &amp; financiering'!$P$29)</f>
        <v>8355000</v>
      </c>
      <c r="T4" s="111">
        <f>$S$4/$Y$4</f>
        <v>92.941765392958445</v>
      </c>
      <c r="U4" s="24">
        <f t="shared" ref="U4:U14" si="0">SUM(S4,-V4)</f>
        <v>-6645000</v>
      </c>
      <c r="V4" s="178">
        <f>SUM(Balansprognose!$B$15)</f>
        <v>15000000</v>
      </c>
      <c r="W4" s="97"/>
      <c r="X4" s="23"/>
      <c r="Y4" s="110">
        <f>$C$9</f>
        <v>89895</v>
      </c>
      <c r="Z4" s="23"/>
      <c r="AA4" s="111"/>
      <c r="AB4" s="149"/>
      <c r="AC4" s="241">
        <f>IF(G2="Handmatig",I4,0%)</f>
        <v>0</v>
      </c>
      <c r="AE4" s="149"/>
    </row>
    <row r="5" spans="1:36" x14ac:dyDescent="0.2">
      <c r="A5" s="49">
        <v>2</v>
      </c>
      <c r="B5" s="49" t="s">
        <v>781</v>
      </c>
      <c r="C5" s="56">
        <v>0.02</v>
      </c>
      <c r="D5" s="26"/>
      <c r="E5" s="49">
        <v>3</v>
      </c>
      <c r="F5" s="49" t="s">
        <v>816</v>
      </c>
      <c r="G5" s="137">
        <f>IF($G$2="Slechtweer",3%,$AC$5)</f>
        <v>0.03</v>
      </c>
      <c r="H5" s="50"/>
      <c r="I5" s="52">
        <v>0</v>
      </c>
      <c r="J5" s="95">
        <f>C1</f>
        <v>2018</v>
      </c>
      <c r="K5" s="99">
        <f t="shared" ref="K5:K14" si="1">S5/L5*-1</f>
        <v>-4.6080929938225559E-2</v>
      </c>
      <c r="L5" s="178">
        <f>SUM(W5,'Inkomsten &amp; uitgaven'!I30,'Investeringen &amp; financiering'!E7,Balansprognose!C39,Balansprognose!C40,Balansprognose!C44)</f>
        <v>231137000</v>
      </c>
      <c r="M5" s="30">
        <f>SUM('Inkomsten &amp; uitgaven'!J30,-'Inkomsten &amp; uitgaven'!K30,'Inkomsten &amp; uitgaven'!G86,'Inkomsten &amp; uitgaven'!G85)</f>
        <v>204547240</v>
      </c>
      <c r="N5" s="178">
        <f>SUM('Investeringen &amp; financiering'!E7,Balansprognose!C44,-Balansprognose!C45)</f>
        <v>0</v>
      </c>
      <c r="O5" s="178">
        <f>-SUM('Investeringen &amp; financiering'!C6,'Investeringen &amp; financiering'!F6,'Investeringen &amp; financiering'!G6,'Investeringen &amp; financiering'!H6)</f>
        <v>24293755.555555556</v>
      </c>
      <c r="P5" s="100">
        <f>'Inkomsten &amp; uitgaven'!N30</f>
        <v>27669500.943131637</v>
      </c>
      <c r="Q5" s="100">
        <f>'Investeringen &amp; financiering'!T6</f>
        <v>-24415224.333333332</v>
      </c>
      <c r="R5" s="100">
        <f>'Investeringen &amp; financiering'!R54</f>
        <v>-958268.70666666655</v>
      </c>
      <c r="S5" s="24">
        <f>SUM($S$4,$P$5:$R$5)</f>
        <v>10651007.903131641</v>
      </c>
      <c r="T5" s="111">
        <f>$S$5/$Y$5</f>
        <v>117.27888706100711</v>
      </c>
      <c r="U5" s="24">
        <f t="shared" si="0"/>
        <v>-4348992.0968683586</v>
      </c>
      <c r="V5" s="30">
        <f>SUM('Investeringen &amp; financiering'!$C$53,'Investeringen &amp; financiering'!$D$53,-'Investeringen &amp; financiering'!$C$54,-'Investeringen &amp; financiering'!$D$54,Balansprognose!$C$41,Balansprognose!$C$42)</f>
        <v>15000000</v>
      </c>
      <c r="W5" s="178">
        <f>'Investeringen &amp; financiering'!$T$54</f>
        <v>1409515.4</v>
      </c>
      <c r="X5" s="23">
        <f>SUM('Investeringen &amp; financiering'!$S$6,'Investeringen &amp; financiering'!$S$54,'Inkomsten &amp; uitgaven'!$M$30)</f>
        <v>-2351593.6757721477</v>
      </c>
      <c r="Y5" s="110">
        <f>SUM($Y$4,$Y$4*$C$12)</f>
        <v>90817.777777777781</v>
      </c>
      <c r="Z5" s="23"/>
      <c r="AA5" s="111"/>
      <c r="AB5" s="149"/>
      <c r="AC5" s="241">
        <f>IF(G2="Handmatig",I5,0%)</f>
        <v>0</v>
      </c>
      <c r="AE5" s="230"/>
      <c r="AF5" s="149"/>
    </row>
    <row r="6" spans="1:36" x14ac:dyDescent="0.2">
      <c r="A6" s="49">
        <v>3</v>
      </c>
      <c r="B6" s="49" t="s">
        <v>711</v>
      </c>
      <c r="C6" s="56">
        <v>1.7000000000000001E-2</v>
      </c>
      <c r="D6" s="20"/>
      <c r="E6" s="49">
        <v>4</v>
      </c>
      <c r="F6" s="49" t="s">
        <v>817</v>
      </c>
      <c r="G6" s="137">
        <f>IF($G$2="Slechtweer",3%,$AC$6)</f>
        <v>0.03</v>
      </c>
      <c r="H6" s="50"/>
      <c r="I6" s="52">
        <v>0</v>
      </c>
      <c r="J6" s="95">
        <f>SUM(C1,1)</f>
        <v>2019</v>
      </c>
      <c r="K6" s="99">
        <f t="shared" si="1"/>
        <v>8.1882159707621929E-2</v>
      </c>
      <c r="L6" s="178">
        <f>SUM(W6,'Inkomsten &amp; uitgaven'!I31,'Investeringen &amp; financiering'!E9,)</f>
        <v>242175389.28157336</v>
      </c>
      <c r="M6" s="30">
        <f>SUM('Inkomsten &amp; uitgaven'!J31,-'Inkomsten &amp; uitgaven'!K31,-'Investeringen &amp; financiering'!E8,-X6)</f>
        <v>245131846.35974285</v>
      </c>
      <c r="N6" s="23">
        <f>SUM('Investeringen &amp; financiering'!E9,'Investeringen &amp; financiering'!E8)</f>
        <v>-1244250</v>
      </c>
      <c r="O6" s="178">
        <f>-SUM('Investeringen &amp; financiering'!C8,'Investeringen &amp; financiering'!F8,'Investeringen &amp; financiering'!G8,'Investeringen &amp; financiering'!H8)*SUM(1,-G21)</f>
        <v>25724394.727371454</v>
      </c>
      <c r="P6" s="100">
        <f>'Inkomsten &amp; uitgaven'!N31</f>
        <v>-1112833.0671624336</v>
      </c>
      <c r="Q6" s="100">
        <f>'Investeringen &amp; financiering'!T8</f>
        <v>-27482483.417978507</v>
      </c>
      <c r="R6" s="100">
        <f>'Investeringen &amp; financiering'!R56</f>
        <v>-1885535.3203999994</v>
      </c>
      <c r="S6" s="24">
        <f>SUM($S$5,$P$6:$R$6)</f>
        <v>-19829843.9024093</v>
      </c>
      <c r="T6" s="111">
        <f>$S$6/$Y$6</f>
        <v>-216.1290230690278</v>
      </c>
      <c r="U6" s="24">
        <f t="shared" si="0"/>
        <v>-33029843.9024093</v>
      </c>
      <c r="V6" s="178">
        <f>SUM($V$5,-'Investeringen &amp; financiering'!$C$56,-'Investeringen &amp; financiering'!$D$56,-'Investeringen &amp; financiering'!$N$56)</f>
        <v>13200000</v>
      </c>
      <c r="W6" s="178">
        <f>'Investeringen &amp; financiering'!$T$56</f>
        <v>2162530.4666666668</v>
      </c>
      <c r="X6" s="23">
        <f>SUM('Investeringen &amp; financiering'!$S$8,'Investeringen &amp; financiering'!$S$56,'Inkomsten &amp; uitgaven'!$M$31)</f>
        <v>-2498967.1719710487</v>
      </c>
      <c r="Y6" s="110">
        <f>SUM($Y$5,$Y$5*$C$12)</f>
        <v>91750.027926957307</v>
      </c>
      <c r="Z6" s="23"/>
      <c r="AA6" s="111"/>
      <c r="AB6" s="149"/>
      <c r="AC6" s="241">
        <f>IF(G2="Handmatig",I6,0%)</f>
        <v>0</v>
      </c>
      <c r="AE6" s="230"/>
      <c r="AF6" s="149"/>
      <c r="AG6" s="149"/>
      <c r="AJ6" s="210"/>
    </row>
    <row r="7" spans="1:36" x14ac:dyDescent="0.2">
      <c r="A7" s="49">
        <v>4</v>
      </c>
      <c r="B7" s="49" t="s">
        <v>783</v>
      </c>
      <c r="C7" s="56">
        <v>2.4E-2</v>
      </c>
      <c r="D7" s="26"/>
      <c r="E7" s="49">
        <v>5</v>
      </c>
      <c r="F7" s="49" t="s">
        <v>809</v>
      </c>
      <c r="G7" s="137">
        <f>IF($G$2="Slechtweer",15%,$AC$7)</f>
        <v>0.15</v>
      </c>
      <c r="H7" s="50"/>
      <c r="I7" s="151">
        <v>0</v>
      </c>
      <c r="J7" s="95">
        <f>SUM(C1,2)</f>
        <v>2020</v>
      </c>
      <c r="K7" s="99">
        <f t="shared" si="1"/>
        <v>0.19931993830266354</v>
      </c>
      <c r="L7" s="178">
        <f>SUM(W7,'Inkomsten &amp; uitgaven'!I32,'Investeringen &amp; financiering'!E11)</f>
        <v>248702871.65000775</v>
      </c>
      <c r="M7" s="30">
        <f>SUM('Inkomsten &amp; uitgaven'!J32,-'Inkomsten &amp; uitgaven'!K32,-'Investeringen &amp; financiering'!E10,-X7)</f>
        <v>252189809.38079903</v>
      </c>
      <c r="N7" s="23">
        <f>SUM('Investeringen &amp; financiering'!E10,'Investeringen &amp; financiering'!E11)</f>
        <v>-6956035.7142857164</v>
      </c>
      <c r="O7" s="178">
        <f>-SUM('Investeringen &amp; financiering'!C10,'Investeringen &amp; financiering'!F10,'Investeringen &amp; financiering'!G10,'Investeringen &amp; financiering'!H10)*SUM(1,-G21)</f>
        <v>26254659.399774231</v>
      </c>
      <c r="P7" s="100">
        <f>'Inkomsten &amp; uitgaven'!N32</f>
        <v>3989439.3615267645</v>
      </c>
      <c r="Q7" s="100">
        <f>'Investeringen &amp; financiering'!T10</f>
        <v>-34502657.452463746</v>
      </c>
      <c r="R7" s="100">
        <f>'Investeringen &amp; financiering'!R58</f>
        <v>771620.96037148731</v>
      </c>
      <c r="S7" s="24">
        <f>SUM($S$6,$P$7:$R$7)</f>
        <v>-49571441.032974795</v>
      </c>
      <c r="T7" s="111">
        <f>$S$7/$Y$7</f>
        <v>-534.79828348043293</v>
      </c>
      <c r="U7" s="24">
        <f t="shared" si="0"/>
        <v>-62771441.032974795</v>
      </c>
      <c r="V7" s="178">
        <f>SUM($V$6,-'Investeringen &amp; financiering'!$C$58,-'Investeringen &amp; financiering'!$D$58,-'Investeringen &amp; financiering'!$N$58)</f>
        <v>13200000</v>
      </c>
      <c r="W7" s="178">
        <f>'Investeringen &amp; financiering'!$T$58</f>
        <v>2983865.9333333336</v>
      </c>
      <c r="X7" s="23">
        <f>SUM('Investeringen &amp; financiering'!$S$10,'Investeringen &amp; financiering'!$S$58,'Inkomsten &amp; uitgaven'!$M$32)</f>
        <v>-3194571.9039656795</v>
      </c>
      <c r="Y7" s="110">
        <f>SUM($Y$6,$Y$6*$C$12)</f>
        <v>92691.847682021398</v>
      </c>
      <c r="Z7" s="23"/>
      <c r="AA7" s="111"/>
      <c r="AB7" s="149"/>
      <c r="AC7" s="241">
        <f>IF(G2="Handmatig",I7,0%)</f>
        <v>0</v>
      </c>
      <c r="AE7" s="230"/>
      <c r="AF7" s="149"/>
      <c r="AG7" s="149"/>
    </row>
    <row r="8" spans="1:36" x14ac:dyDescent="0.2">
      <c r="A8" s="49">
        <v>5</v>
      </c>
      <c r="B8" s="49" t="s">
        <v>784</v>
      </c>
      <c r="C8" s="56">
        <v>2.325E-2</v>
      </c>
      <c r="D8" s="26"/>
      <c r="E8" s="49">
        <v>6</v>
      </c>
      <c r="F8" s="49" t="s">
        <v>810</v>
      </c>
      <c r="G8" s="137">
        <f>IF($G$2="Slechtweer",33%,$AC$8)</f>
        <v>0.33</v>
      </c>
      <c r="H8" s="50"/>
      <c r="I8" s="151">
        <v>0</v>
      </c>
      <c r="J8" s="95">
        <f>SUM(C1,3)</f>
        <v>2021</v>
      </c>
      <c r="K8" s="99">
        <f t="shared" si="1"/>
        <v>0.28723549798839448</v>
      </c>
      <c r="L8" s="178">
        <f>SUM(W8,'Inkomsten &amp; uitgaven'!I33,'Investeringen &amp; financiering'!E13)</f>
        <v>260688242.16725662</v>
      </c>
      <c r="M8" s="30">
        <f>SUM('Inkomsten &amp; uitgaven'!J33,-'Inkomsten &amp; uitgaven'!K33,-'Investeringen &amp; financiering'!E12,-X8)</f>
        <v>259716496.38935593</v>
      </c>
      <c r="N8" s="23">
        <f>SUM('Investeringen &amp; financiering'!E12,'Investeringen &amp; financiering'!E13)</f>
        <v>-6956035.7142857164</v>
      </c>
      <c r="O8" s="178">
        <f>-SUM('Investeringen &amp; financiering'!C12,'Investeringen &amp; financiering'!F12,'Investeringen &amp; financiering'!G12,'Investeringen &amp; financiering'!H12)*SUM(1,-G21)</f>
        <v>26279221.803557053</v>
      </c>
      <c r="P8" s="100">
        <f>'Inkomsten &amp; uitgaven'!N33</f>
        <v>9638220.0424736142</v>
      </c>
      <c r="Q8" s="100">
        <f>'Investeringen &amp; financiering'!T12</f>
        <v>-35728844.303466439</v>
      </c>
      <c r="R8" s="100">
        <f>'Investeringen &amp; financiering'!R60</f>
        <v>783148.23533647833</v>
      </c>
      <c r="S8" s="24">
        <f>SUM($S$7,$P$8:$R$8)</f>
        <v>-74878917.058631137</v>
      </c>
      <c r="T8" s="111">
        <f>$S$8/$Y$8</f>
        <v>-799.61821990085718</v>
      </c>
      <c r="U8" s="24">
        <f t="shared" si="0"/>
        <v>-88078917.058631137</v>
      </c>
      <c r="V8" s="178">
        <f>SUM($V$7,-'Investeringen &amp; financiering'!$C$60,-'Investeringen &amp; financiering'!$D$60,-'Investeringen &amp; financiering'!$N$60)</f>
        <v>13200000</v>
      </c>
      <c r="W8" s="178">
        <f>'Investeringen &amp; financiering'!$T$60</f>
        <v>2988477</v>
      </c>
      <c r="X8" s="23">
        <f>SUM('Investeringen &amp; financiering'!$S$12,'Investeringen &amp; financiering'!$S$60,'Inkomsten &amp; uitgaven'!$M$33)</f>
        <v>-4143145.0308917584</v>
      </c>
      <c r="Y8" s="110">
        <f>SUM($Y$7,$Y$7*$C$12)</f>
        <v>93643.335275570891</v>
      </c>
      <c r="Z8" s="23"/>
      <c r="AA8" s="111"/>
      <c r="AB8" s="149"/>
      <c r="AC8" s="241">
        <f>IF(G2="Handmatig",I8,0%)</f>
        <v>0</v>
      </c>
      <c r="AE8" s="230"/>
      <c r="AF8" s="149"/>
      <c r="AG8" s="149"/>
    </row>
    <row r="9" spans="1:36" x14ac:dyDescent="0.2">
      <c r="A9" s="49">
        <v>6</v>
      </c>
      <c r="B9" s="49" t="s">
        <v>909</v>
      </c>
      <c r="C9" s="88">
        <f>VLOOKUP($C$2,'Data macrogegevens'!$B$2:$F$390,5,0)</f>
        <v>89895</v>
      </c>
      <c r="D9" s="20"/>
      <c r="E9" s="49">
        <v>7</v>
      </c>
      <c r="F9" s="49" t="s">
        <v>808</v>
      </c>
      <c r="G9" s="137">
        <f>IF($G$2="Slechtweer",12%,$AC$9)</f>
        <v>0.12</v>
      </c>
      <c r="H9" s="51"/>
      <c r="I9" s="151">
        <v>0</v>
      </c>
      <c r="J9" s="95">
        <f>SUM(C1,4)</f>
        <v>2022</v>
      </c>
      <c r="K9" s="99">
        <f t="shared" si="1"/>
        <v>0.32934688462497202</v>
      </c>
      <c r="L9" s="178">
        <f>SUM(W9,'Inkomsten &amp; uitgaven'!I34,'Investeringen &amp; financiering'!E15)</f>
        <v>277411513.15549785</v>
      </c>
      <c r="M9" s="30">
        <f>SUM('Inkomsten &amp; uitgaven'!J34,-'Inkomsten &amp; uitgaven'!K34,-'Investeringen &amp; financiering'!E14,-X9)</f>
        <v>267335506.07275632</v>
      </c>
      <c r="N9" s="23">
        <f>SUM('Investeringen &amp; financiering'!E14,'Investeringen &amp; financiering'!E15)</f>
        <v>-2803740.0000000037</v>
      </c>
      <c r="O9" s="178">
        <f>-SUM('Investeringen &amp; financiering'!C14,'Investeringen &amp; financiering'!F14,'Investeringen &amp; financiering'!G14,'Investeringen &amp; financiering'!H14)*SUM(1,-G21)</f>
        <v>26561707.640973046</v>
      </c>
      <c r="P9" s="100">
        <f>'Inkomsten &amp; uitgaven'!N34</f>
        <v>15906650.163065024</v>
      </c>
      <c r="Q9" s="100">
        <f>'Investeringen &amp; financiering'!T14</f>
        <v>-33210792.001197986</v>
      </c>
      <c r="R9" s="100">
        <f>'Investeringen &amp; financiering'!R62</f>
        <v>818441.27990145236</v>
      </c>
      <c r="S9" s="24">
        <f>SUM($S$8,$P$9:$R$9)</f>
        <v>-91364617.616862655</v>
      </c>
      <c r="T9" s="111">
        <f>$S$9/$Y$9</f>
        <v>-965.75248269170572</v>
      </c>
      <c r="U9" s="24">
        <f t="shared" si="0"/>
        <v>-104564617.61686265</v>
      </c>
      <c r="V9" s="178">
        <f>SUM($V$8,-'Investeringen &amp; financiering'!$C$62,-'Investeringen &amp; financiering'!$D$62,-'Investeringen &amp; financiering'!$N$62)</f>
        <v>13200000</v>
      </c>
      <c r="W9" s="178">
        <f>'Investeringen &amp; financiering'!$T$62</f>
        <v>2989474.6</v>
      </c>
      <c r="X9" s="23">
        <f>SUM('Investeringen &amp; financiering'!$S$14,'Investeringen &amp; financiering'!$S$62,'Inkomsten &amp; uitgaven'!$M$34)</f>
        <v>-4959727.3529763091</v>
      </c>
      <c r="Y9" s="110">
        <f>SUM($Y$8,$Y$8*$C$12)</f>
        <v>94604.589948570399</v>
      </c>
      <c r="Z9" s="23"/>
      <c r="AA9" s="111"/>
      <c r="AB9" s="149"/>
      <c r="AC9" s="241">
        <f>IF(G2="Handmatig",I9,0%)</f>
        <v>0</v>
      </c>
      <c r="AE9" s="230"/>
      <c r="AF9" s="149"/>
      <c r="AG9" s="149"/>
    </row>
    <row r="10" spans="1:36" x14ac:dyDescent="0.2">
      <c r="A10" s="49">
        <v>7</v>
      </c>
      <c r="B10" s="49" t="s">
        <v>920</v>
      </c>
      <c r="C10" s="87" t="str">
        <f>VLOOKUP($C$2,'Data macrogegevens'!$B$2:$F$390,3,0)</f>
        <v>Midden</v>
      </c>
      <c r="D10" s="20"/>
      <c r="E10" s="49">
        <v>8</v>
      </c>
      <c r="F10" s="49" t="s">
        <v>807</v>
      </c>
      <c r="G10" s="137">
        <f>IF($G$2="Slechtweer",12%,$AC$10)</f>
        <v>0.12</v>
      </c>
      <c r="H10" s="51"/>
      <c r="I10" s="151">
        <v>0</v>
      </c>
      <c r="J10" s="95">
        <f>SUM(C1,5)</f>
        <v>2023</v>
      </c>
      <c r="K10" s="99">
        <f t="shared" si="1"/>
        <v>0.34220118688596346</v>
      </c>
      <c r="L10" s="178">
        <f>SUM(W10,'Inkomsten &amp; uitgaven'!I35,'Investeringen &amp; financiering'!E17)</f>
        <v>292843167.42554235</v>
      </c>
      <c r="M10" s="30">
        <f>SUM('Inkomsten &amp; uitgaven'!J35,-'Inkomsten &amp; uitgaven'!K35,-'Investeringen &amp; financiering'!E16,-X10)</f>
        <v>274842176.80430341</v>
      </c>
      <c r="N10" s="23">
        <f>SUM('Investeringen &amp; financiering'!E16,'Investeringen &amp; financiering'!E17)</f>
        <v>-555372.85714285821</v>
      </c>
      <c r="O10" s="178">
        <f>-SUM('Investeringen &amp; financiering'!C16,'Investeringen &amp; financiering'!F16,'Investeringen &amp; financiering'!G16,'Investeringen &amp; financiering'!H16)*SUM(1,-G21)</f>
        <v>26847652.468841746</v>
      </c>
      <c r="P10" s="100">
        <f>'Inkomsten &amp; uitgaven'!N35</f>
        <v>22817041.599742178</v>
      </c>
      <c r="Q10" s="100">
        <f>'Investeringen &amp; financiering'!T16</f>
        <v>-32537552.919957686</v>
      </c>
      <c r="R10" s="100">
        <f>'Investeringen &amp; financiering'!R64</f>
        <v>873849.47261266178</v>
      </c>
      <c r="S10" s="24">
        <f>SUM($S$9,$P$10:$R$10)</f>
        <v>-100211279.4644655</v>
      </c>
      <c r="T10" s="111">
        <f>$S$10/$Y$10</f>
        <v>-1048.5015220778312</v>
      </c>
      <c r="U10" s="24">
        <f t="shared" si="0"/>
        <v>-113411279.4644655</v>
      </c>
      <c r="V10" s="178">
        <f>SUM($V$9,-'Investeringen &amp; financiering'!$C$64,-'Investeringen &amp; financiering'!$D$64,-'Investeringen &amp; financiering'!$N$64)</f>
        <v>13200000</v>
      </c>
      <c r="W10" s="178">
        <f>'Investeringen &amp; financiering'!$T$64</f>
        <v>2985977.4</v>
      </c>
      <c r="X10" s="23">
        <f>SUM('Investeringen &amp; financiering'!$S$16,'Investeringen &amp; financiering'!$S$64,'Inkomsten &amp; uitgaven'!$M$35)</f>
        <v>-5430717.1202327181</v>
      </c>
      <c r="Y10" s="110">
        <f>SUM($Y$9,$Y$9*$C$12)</f>
        <v>95575.71196069922</v>
      </c>
      <c r="Z10" s="23"/>
      <c r="AA10" s="111"/>
      <c r="AB10" s="149"/>
      <c r="AC10" s="241">
        <f>IF(G2="Handmatig",I10,0%)</f>
        <v>0</v>
      </c>
      <c r="AE10" s="230"/>
      <c r="AF10" s="149"/>
      <c r="AG10" s="149"/>
    </row>
    <row r="11" spans="1:36" x14ac:dyDescent="0.2">
      <c r="A11" s="49">
        <v>8</v>
      </c>
      <c r="B11" s="49" t="s">
        <v>910</v>
      </c>
      <c r="C11" s="56">
        <v>3.0999999999999999E-3</v>
      </c>
      <c r="D11" s="20"/>
      <c r="E11" s="49">
        <v>9</v>
      </c>
      <c r="F11" s="49" t="s">
        <v>554</v>
      </c>
      <c r="G11" s="213"/>
      <c r="H11" s="51"/>
      <c r="I11" s="145"/>
      <c r="J11" s="95">
        <f>SUM(C1,6)</f>
        <v>2024</v>
      </c>
      <c r="K11" s="150">
        <f t="shared" si="1"/>
        <v>0.34573333697074893</v>
      </c>
      <c r="L11" s="178">
        <f>SUM(W11,'Inkomsten &amp; uitgaven'!I36,'Investeringen &amp; financiering'!E19)</f>
        <v>305159755.01135153</v>
      </c>
      <c r="M11" s="30">
        <f>SUM('Inkomsten &amp; uitgaven'!J36,-'Inkomsten &amp; uitgaven'!K36,-'Investeringen &amp; financiering'!E18,-X11)</f>
        <v>283315259.541089</v>
      </c>
      <c r="N11" s="23">
        <f>SUM('Investeringen &amp; financiering'!E18,'Investeringen &amp; financiering'!E19)</f>
        <v>1692994.2857142873</v>
      </c>
      <c r="O11" s="178">
        <f>-SUM('Investeringen &amp; financiering'!C18,'Investeringen &amp; financiering'!F18,'Investeringen &amp; financiering'!G18,'Investeringen &amp; financiering'!H18)*SUM(1,-G21)</f>
        <v>27137116.415047757</v>
      </c>
      <c r="P11" s="100">
        <f>'Inkomsten &amp; uitgaven'!N36</f>
        <v>25621595.92542493</v>
      </c>
      <c r="Q11" s="100">
        <f>'Investeringen &amp; financiering'!T18</f>
        <v>-31840973.776171837</v>
      </c>
      <c r="R11" s="100">
        <f>'Investeringen &amp; financiering'!R66</f>
        <v>926756.90596161271</v>
      </c>
      <c r="S11" s="24">
        <f>SUM($S$10,$P$11:$R$11)</f>
        <v>-105503900.40925078</v>
      </c>
      <c r="T11" s="111">
        <f>$S$11/$Y$11</f>
        <v>-1092.6614963156142</v>
      </c>
      <c r="U11" s="24">
        <f t="shared" si="0"/>
        <v>-118703900.40925078</v>
      </c>
      <c r="V11" s="178">
        <f>SUM($V$10,-'Investeringen &amp; financiering'!$C$66,-'Investeringen &amp; financiering'!$D$66,-'Investeringen &amp; financiering'!$N$66)</f>
        <v>13200000</v>
      </c>
      <c r="W11" s="178">
        <f>'Investeringen &amp; financiering'!$T$66</f>
        <v>2983009</v>
      </c>
      <c r="X11" s="23">
        <f>SUM('Investeringen &amp; financiering'!$S$18,'Investeringen &amp; financiering'!$S$66,'Inkomsten &amp; uitgaven'!$M$36)</f>
        <v>-5687388.133373227</v>
      </c>
      <c r="Y11" s="110">
        <f>SUM($Y$10,$Y$10*$C$12)</f>
        <v>96556.802600808485</v>
      </c>
      <c r="Z11" s="23"/>
      <c r="AA11" s="111"/>
      <c r="AB11" s="149"/>
      <c r="AE11" s="230"/>
      <c r="AF11" s="149"/>
      <c r="AG11" s="149"/>
    </row>
    <row r="12" spans="1:36" x14ac:dyDescent="0.2">
      <c r="A12" s="49">
        <v>9</v>
      </c>
      <c r="B12" s="49" t="s">
        <v>911</v>
      </c>
      <c r="C12" s="56">
        <f>VLOOKUP($C$2,'Data macrogegevens'!$B$2:$F$390,2,0)</f>
        <v>1.0265062325799854E-2</v>
      </c>
      <c r="D12" s="20"/>
      <c r="E12" s="49">
        <v>10</v>
      </c>
      <c r="F12" s="49" t="s">
        <v>811</v>
      </c>
      <c r="G12" s="53">
        <f>IF($G$2="Slechtweer",1%,$AC$12)</f>
        <v>0.01</v>
      </c>
      <c r="H12" s="51"/>
      <c r="I12" s="52">
        <v>0</v>
      </c>
      <c r="J12" s="95">
        <f>SUM(C1,7)</f>
        <v>2025</v>
      </c>
      <c r="K12" s="99">
        <f t="shared" si="1"/>
        <v>0.34634195492238462</v>
      </c>
      <c r="L12" s="178">
        <f>SUM(W12,'Inkomsten &amp; uitgaven'!I37,'Investeringen &amp; financiering'!E21)</f>
        <v>315619578.26754087</v>
      </c>
      <c r="M12" s="30">
        <f>SUM('Inkomsten &amp; uitgaven'!J37,-'Inkomsten &amp; uitgaven'!K37,-'Investeringen &amp; financiering'!E20,-X12)</f>
        <v>291997818.29730117</v>
      </c>
      <c r="N12" s="23">
        <f>SUM('Investeringen &amp; financiering'!E20,'Investeringen &amp; financiering'!E21)</f>
        <v>1692994.2857142873</v>
      </c>
      <c r="O12" s="178">
        <f>-SUM('Investeringen &amp; financiering'!C20,'Investeringen &amp; financiering'!F20,'Investeringen &amp; financiering'!G20,'Investeringen &amp; financiering'!H20)*SUM(1,-G21)</f>
        <v>27430161.30994758</v>
      </c>
      <c r="P12" s="100">
        <f>'Inkomsten &amp; uitgaven'!N37</f>
        <v>28647042.113386318</v>
      </c>
      <c r="Q12" s="100">
        <f>'Investeringen &amp; financiering'!T20</f>
        <v>-33413518.520016529</v>
      </c>
      <c r="R12" s="100">
        <f>'Investeringen &amp; financiering'!R68</f>
        <v>958075.0669222991</v>
      </c>
      <c r="S12" s="24">
        <f>SUM($S$11,$P$12:$R$12)</f>
        <v>-109312301.74895869</v>
      </c>
      <c r="T12" s="111">
        <f>$S$12/$Y$12</f>
        <v>-1120.6005440324318</v>
      </c>
      <c r="U12" s="24">
        <f t="shared" si="0"/>
        <v>-122512301.74895869</v>
      </c>
      <c r="V12" s="178">
        <f>SUM($V$11,-'Investeringen &amp; financiering'!$C$68,-'Investeringen &amp; financiering'!$D$68,-'Investeringen &amp; financiering'!$N$68)</f>
        <v>13200000</v>
      </c>
      <c r="W12" s="178">
        <f>'Investeringen &amp; financiering'!$T$68</f>
        <v>2984799.8</v>
      </c>
      <c r="X12" s="23">
        <f>SUM('Investeringen &amp; financiering'!$S$20,'Investeringen &amp; financiering'!$S$68,'Inkomsten &amp; uitgaven'!$M$37)</f>
        <v>-5873269.6794199338</v>
      </c>
      <c r="Y12" s="110">
        <f>SUM($Y$11,$Y$11*$C$12)</f>
        <v>97547.964197485737</v>
      </c>
      <c r="Z12" s="23"/>
      <c r="AA12" s="111"/>
      <c r="AB12" s="149"/>
      <c r="AC12" s="241">
        <f>IF(G2="Handmatig",I12,0%)</f>
        <v>0</v>
      </c>
      <c r="AE12" s="230"/>
      <c r="AF12" s="149"/>
      <c r="AG12" s="149"/>
    </row>
    <row r="13" spans="1:36" x14ac:dyDescent="0.2">
      <c r="A13" s="49">
        <v>10</v>
      </c>
      <c r="B13" s="49" t="s">
        <v>128</v>
      </c>
      <c r="C13" s="56">
        <f>VLOOKUP($C$2,'Data macrogegevens'!$B$2:$F$390,4,0)</f>
        <v>3.1630510846745979E-2</v>
      </c>
      <c r="D13" s="20"/>
      <c r="E13" s="49">
        <v>11</v>
      </c>
      <c r="F13" s="49" t="s">
        <v>812</v>
      </c>
      <c r="G13" s="53">
        <f>IF($G$2="Slechtweer",2%,$AC$13)</f>
        <v>0.02</v>
      </c>
      <c r="H13" s="51"/>
      <c r="I13" s="52">
        <v>0</v>
      </c>
      <c r="J13" s="95">
        <f>SUM(C1,8)</f>
        <v>2026</v>
      </c>
      <c r="K13" s="99">
        <f t="shared" si="1"/>
        <v>0.34150239416639583</v>
      </c>
      <c r="L13" s="178">
        <f>SUM(W13,'Inkomsten &amp; uitgaven'!I38,'Investeringen &amp; financiering'!E23)</f>
        <v>326487273.48877752</v>
      </c>
      <c r="M13" s="30">
        <f>SUM('Inkomsten &amp; uitgaven'!J38,-'Inkomsten &amp; uitgaven'!K38,-'Investeringen &amp; financiering'!E22,-X13)</f>
        <v>300944306.54937756</v>
      </c>
      <c r="N13" s="23">
        <f>SUM('Investeringen &amp; financiering'!E22,'Investeringen &amp; financiering'!E23)</f>
        <v>1692994.2857142873</v>
      </c>
      <c r="O13" s="178">
        <f>-SUM('Investeringen &amp; financiering'!C22,'Investeringen &amp; financiering'!F22,'Investeringen &amp; financiering'!G22,'Investeringen &amp; financiering'!H22)*SUM(1,-G21)</f>
        <v>27726850.751717612</v>
      </c>
      <c r="P13" s="100">
        <f>'Inkomsten &amp; uitgaven'!N38</f>
        <v>31907606.519624799</v>
      </c>
      <c r="Q13" s="100">
        <f>'Investeringen &amp; financiering'!T22</f>
        <v>-35052682.491422623</v>
      </c>
      <c r="R13" s="100">
        <f>'Investeringen &amp; financiering'!R70</f>
        <v>961192.15948014334</v>
      </c>
      <c r="S13" s="24">
        <f>SUM($S$12,$P$13:$R$13)</f>
        <v>-111496185.56127638</v>
      </c>
      <c r="T13" s="111">
        <f>$S$13/$Y$13</f>
        <v>-1131.3747070197921</v>
      </c>
      <c r="U13" s="24">
        <f t="shared" si="0"/>
        <v>-124696185.56127638</v>
      </c>
      <c r="V13" s="178">
        <f>SUM($V$12,-'Investeringen &amp; financiering'!$C$70,-'Investeringen &amp; financiering'!$D$70,-'Investeringen &amp; financiering'!$N$70)</f>
        <v>13200000</v>
      </c>
      <c r="W13" s="178">
        <f>'Investeringen &amp; financiering'!$T$70</f>
        <v>2992759.9333333331</v>
      </c>
      <c r="X13" s="23">
        <f>SUM('Investeringen &amp; financiering'!$S$22,'Investeringen &amp; financiering'!$S$70,'Inkomsten &amp; uitgaven'!$M$38)</f>
        <v>-6033241.1982038142</v>
      </c>
      <c r="Y13" s="110">
        <f>SUM($Y$12,$Y$12*$C$12)</f>
        <v>98549.300129727824</v>
      </c>
      <c r="Z13" s="23"/>
      <c r="AA13" s="111"/>
      <c r="AB13" s="149"/>
      <c r="AC13" s="241">
        <f>IF(G2="Handmatig",I13,0%)</f>
        <v>0</v>
      </c>
      <c r="AE13" s="230"/>
      <c r="AF13" s="149"/>
      <c r="AG13" s="149"/>
    </row>
    <row r="14" spans="1:36" x14ac:dyDescent="0.2">
      <c r="A14" s="49">
        <v>11</v>
      </c>
      <c r="B14" s="49" t="s">
        <v>653</v>
      </c>
      <c r="C14" s="267">
        <v>1E-3</v>
      </c>
      <c r="D14" s="20"/>
      <c r="E14" s="49">
        <v>12</v>
      </c>
      <c r="F14" s="49" t="s">
        <v>813</v>
      </c>
      <c r="G14" s="53">
        <f>IF($G$2="Slechtweer",3%,$AC$14)</f>
        <v>0.03</v>
      </c>
      <c r="H14" s="51"/>
      <c r="I14" s="52">
        <v>0</v>
      </c>
      <c r="J14" s="95">
        <f>SUM(C1,9)</f>
        <v>2027</v>
      </c>
      <c r="K14" s="99">
        <f t="shared" si="1"/>
        <v>0.33122475084979536</v>
      </c>
      <c r="L14" s="178">
        <f>SUM(W14,'Inkomsten &amp; uitgaven'!I39,'Investeringen &amp; financiering'!E25)</f>
        <v>337772189.2420854</v>
      </c>
      <c r="M14" s="30">
        <f>SUM('Inkomsten &amp; uitgaven'!J39,-'Inkomsten &amp; uitgaven'!K39,-'Investeringen &amp; financiering'!E24,-X14)</f>
        <v>310127262.732023</v>
      </c>
      <c r="N14" s="23">
        <f>SUM('Investeringen &amp; financiering'!E24,'Investeringen &amp; financiering'!E25)</f>
        <v>1692994.2857142873</v>
      </c>
      <c r="O14" s="178">
        <f>-SUM('Investeringen &amp; financiering'!C24,'Investeringen &amp; financiering'!F24,'Investeringen &amp; financiering'!G24,'Investeringen &amp; financiering'!H24)*SUM(1,-G21)</f>
        <v>28027250.174485683</v>
      </c>
      <c r="P14" s="100">
        <f>'Inkomsten &amp; uitgaven'!N39</f>
        <v>35418332.577734619</v>
      </c>
      <c r="Q14" s="100">
        <f>'Investeringen &amp; financiering'!T24</f>
        <v>-36761197.20230297</v>
      </c>
      <c r="R14" s="100">
        <f>'Investeringen &amp; financiering'!R72</f>
        <v>960540.9601450637</v>
      </c>
      <c r="S14" s="24">
        <f>SUM($S$13,$P$14:$R$14)</f>
        <v>-111878509.22569966</v>
      </c>
      <c r="T14" s="111">
        <f>$S$14/$Y$14</f>
        <v>-1123.7191764263412</v>
      </c>
      <c r="U14" s="24">
        <f t="shared" si="0"/>
        <v>-125078509.22569966</v>
      </c>
      <c r="V14" s="178">
        <f>SUM($V$13,-'Investeringen &amp; financiering'!$C$72,-'Investeringen &amp; financiering'!$D$72,-'Investeringen &amp; financiering'!$N$72)</f>
        <v>13200000</v>
      </c>
      <c r="W14" s="178">
        <f>'Investeringen &amp; financiering'!$T$72</f>
        <v>3000808.2</v>
      </c>
      <c r="X14" s="23">
        <f>SUM('Investeringen &amp; financiering'!$S$24,'Investeringen &amp; financiering'!$S$72,'Inkomsten &amp; uitgaven'!$M$39)</f>
        <v>-6129939.4994284296</v>
      </c>
      <c r="Y14" s="110">
        <f>SUM($Y$13,$Y$13*$C$12)</f>
        <v>99560.914837723438</v>
      </c>
      <c r="Z14" s="23"/>
      <c r="AA14" s="111"/>
      <c r="AB14" s="149"/>
      <c r="AC14" s="241">
        <f>IF(G2="Handmatig",I14,0%)</f>
        <v>0</v>
      </c>
      <c r="AE14" s="230"/>
      <c r="AF14" s="149"/>
      <c r="AG14" s="149"/>
    </row>
    <row r="15" spans="1:36" x14ac:dyDescent="0.2">
      <c r="A15" s="49">
        <v>12</v>
      </c>
      <c r="B15" s="49" t="s">
        <v>113</v>
      </c>
      <c r="C15" s="267">
        <v>1E-3</v>
      </c>
      <c r="D15" s="26"/>
      <c r="E15" s="49">
        <v>13</v>
      </c>
      <c r="F15" s="49" t="s">
        <v>531</v>
      </c>
      <c r="G15" s="54">
        <f>'Inkomsten &amp; uitgaven'!M13</f>
        <v>14999806.192397237</v>
      </c>
      <c r="H15" s="51"/>
      <c r="I15" s="53"/>
      <c r="J15" s="3"/>
      <c r="K15" s="3"/>
      <c r="M15" s="3"/>
      <c r="N15" s="3"/>
      <c r="O15" s="3"/>
      <c r="X15" s="29"/>
      <c r="AA15" s="3"/>
    </row>
    <row r="16" spans="1:36" x14ac:dyDescent="0.2">
      <c r="A16" s="49">
        <v>13</v>
      </c>
      <c r="B16" s="49" t="s">
        <v>570</v>
      </c>
      <c r="C16" s="56">
        <v>0.01</v>
      </c>
      <c r="D16" s="20"/>
      <c r="E16" s="49">
        <v>14</v>
      </c>
      <c r="F16" s="49" t="s">
        <v>891</v>
      </c>
      <c r="G16" s="54">
        <f>'Inkomsten &amp; uitgaven'!M14</f>
        <v>152461102.86554065</v>
      </c>
      <c r="H16" s="51"/>
      <c r="I16" s="53"/>
      <c r="J16" s="1"/>
      <c r="K16" s="3"/>
      <c r="P16" s="29"/>
    </row>
    <row r="17" spans="1:31" x14ac:dyDescent="0.2">
      <c r="A17" s="49">
        <v>14</v>
      </c>
      <c r="B17" s="16" t="s">
        <v>654</v>
      </c>
      <c r="C17" s="56">
        <v>1.4999999999999999E-2</v>
      </c>
      <c r="E17" s="49">
        <v>15</v>
      </c>
      <c r="F17" s="49" t="s">
        <v>805</v>
      </c>
      <c r="G17" s="102">
        <v>2.3E-2</v>
      </c>
      <c r="H17" s="193">
        <f>G17*SUM(G15,G16)</f>
        <v>3851600.9083325714</v>
      </c>
      <c r="I17" s="145"/>
      <c r="J17" s="1"/>
      <c r="K17" s="3"/>
      <c r="L17" s="1"/>
      <c r="Y17" s="2"/>
      <c r="Z17" s="41"/>
      <c r="AA17" s="2"/>
      <c r="AB17" s="48"/>
    </row>
    <row r="18" spans="1:31" x14ac:dyDescent="0.2">
      <c r="C18" s="56"/>
      <c r="E18" s="49">
        <v>16</v>
      </c>
      <c r="F18" s="49" t="s">
        <v>912</v>
      </c>
      <c r="G18" s="101">
        <v>1</v>
      </c>
      <c r="H18" s="193">
        <f>H17*G18*5</f>
        <v>19258004.541662857</v>
      </c>
      <c r="I18" s="145"/>
      <c r="K18" s="3"/>
      <c r="L18" s="5"/>
      <c r="Y18" s="23"/>
      <c r="Z18" s="31"/>
      <c r="AA18" s="23"/>
      <c r="AB18" s="18"/>
    </row>
    <row r="19" spans="1:31" x14ac:dyDescent="0.2">
      <c r="C19" s="56"/>
      <c r="E19" s="49">
        <v>17</v>
      </c>
      <c r="F19" s="49" t="s">
        <v>806</v>
      </c>
      <c r="G19" s="148">
        <f>IF($G$2="Slechtweer",I19,$AC$19)</f>
        <v>0</v>
      </c>
      <c r="H19" s="152"/>
      <c r="I19" s="171">
        <v>0</v>
      </c>
      <c r="K19" s="7"/>
      <c r="L19" s="4"/>
      <c r="Y19" s="23"/>
      <c r="Z19" s="31"/>
      <c r="AA19" s="23"/>
      <c r="AB19" s="18"/>
      <c r="AC19" s="243">
        <f>IF(G2="Handmatig",I19,0%)</f>
        <v>0</v>
      </c>
    </row>
    <row r="20" spans="1:31" x14ac:dyDescent="0.2">
      <c r="C20" s="56"/>
      <c r="E20" s="49"/>
      <c r="F20" s="49"/>
      <c r="G20" s="153"/>
      <c r="H20" s="135"/>
      <c r="I20" s="135"/>
      <c r="K20" s="7"/>
      <c r="L20" s="4"/>
      <c r="Y20" s="23"/>
      <c r="Z20" s="31"/>
      <c r="AA20" s="23"/>
      <c r="AB20" s="18"/>
    </row>
    <row r="21" spans="1:31" x14ac:dyDescent="0.2">
      <c r="E21" s="49"/>
      <c r="F21" s="49"/>
      <c r="G21" s="154"/>
      <c r="H21" s="135"/>
      <c r="I21" s="155"/>
      <c r="K21" s="7"/>
      <c r="L21" s="4"/>
      <c r="Y21" s="23"/>
      <c r="Z21" s="31"/>
      <c r="AA21" s="23"/>
      <c r="AB21" s="18"/>
      <c r="AC21" s="243"/>
    </row>
    <row r="22" spans="1:31" x14ac:dyDescent="0.2">
      <c r="A22" s="25" t="s">
        <v>73</v>
      </c>
      <c r="B22" s="16" t="s">
        <v>804</v>
      </c>
      <c r="E22" s="49"/>
      <c r="F22" s="49"/>
      <c r="G22" s="136"/>
      <c r="H22" s="135"/>
      <c r="K22" s="7"/>
      <c r="V22" s="31"/>
      <c r="W22" s="31"/>
      <c r="X22" s="31"/>
      <c r="Y22" s="23"/>
      <c r="Z22" s="31"/>
      <c r="AA22" s="23"/>
      <c r="AB22" s="18"/>
    </row>
    <row r="23" spans="1:31" x14ac:dyDescent="0.2">
      <c r="E23" s="49"/>
      <c r="K23" s="7"/>
      <c r="L23" s="120" t="s">
        <v>23</v>
      </c>
      <c r="M23" s="121"/>
      <c r="N23" s="121"/>
      <c r="O23" s="245"/>
      <c r="P23" s="122"/>
      <c r="Q23" s="122"/>
      <c r="R23" s="122"/>
      <c r="S23" s="123">
        <v>2016</v>
      </c>
      <c r="T23" s="231">
        <v>2017</v>
      </c>
      <c r="U23" s="231">
        <v>2018</v>
      </c>
      <c r="V23" s="285"/>
      <c r="W23" s="285"/>
      <c r="X23" s="285"/>
      <c r="Y23" s="98"/>
      <c r="Z23" s="31"/>
      <c r="AA23" s="23"/>
      <c r="AB23" s="18"/>
    </row>
    <row r="24" spans="1:31" x14ac:dyDescent="0.2">
      <c r="E24" s="49"/>
      <c r="K24" s="7"/>
      <c r="L24" s="179" t="s">
        <v>597</v>
      </c>
      <c r="M24" s="115"/>
      <c r="N24" s="115"/>
      <c r="O24" s="174"/>
      <c r="P24" s="115"/>
      <c r="Q24" s="115"/>
      <c r="R24" s="115"/>
      <c r="S24" s="174"/>
      <c r="T24" s="236"/>
      <c r="U24" s="236"/>
      <c r="V24" s="285"/>
      <c r="W24" s="285"/>
      <c r="X24" s="285"/>
      <c r="Y24" s="98"/>
      <c r="Z24" s="31"/>
      <c r="AA24" s="23"/>
      <c r="AB24" s="18"/>
    </row>
    <row r="25" spans="1:31" x14ac:dyDescent="0.2">
      <c r="K25" s="7"/>
      <c r="L25" s="112" t="s">
        <v>731</v>
      </c>
      <c r="M25" s="113"/>
      <c r="N25" s="114"/>
      <c r="O25" s="246"/>
      <c r="P25" s="115"/>
      <c r="Q25" s="115"/>
      <c r="R25" s="115"/>
      <c r="S25" s="236">
        <f>VLOOKUP($C$2,'Kengetallen 2016'!$B$2:$S$391,15,0)</f>
        <v>3.5197433198655483</v>
      </c>
      <c r="T25" s="236">
        <f>Balansprognose!$F$40</f>
        <v>3.4965198791294605</v>
      </c>
      <c r="U25" s="236">
        <f>Balansprognose!$G$40</f>
        <v>3.4965198791294605</v>
      </c>
      <c r="V25" s="285"/>
      <c r="W25" s="285"/>
      <c r="X25" s="285"/>
      <c r="Y25" s="98"/>
      <c r="Z25" s="31"/>
      <c r="AA25" s="23"/>
      <c r="AB25" s="18"/>
    </row>
    <row r="26" spans="1:31" x14ac:dyDescent="0.2">
      <c r="K26" s="7"/>
      <c r="L26" s="112" t="s">
        <v>776</v>
      </c>
      <c r="M26" s="113"/>
      <c r="N26" s="114"/>
      <c r="O26" s="246"/>
      <c r="P26" s="115"/>
      <c r="Q26" s="115"/>
      <c r="R26" s="115"/>
      <c r="S26" s="116">
        <f>VLOOKUP($C$2,'Kengetallen 2016'!$B$2:$O$382,3,0)</f>
        <v>0</v>
      </c>
      <c r="T26" s="116">
        <f>Balansprognose!$F$41</f>
        <v>0</v>
      </c>
      <c r="U26" s="116">
        <f>Balansprognose!$G$41</f>
        <v>0</v>
      </c>
      <c r="V26" s="286">
        <f>SUM(20%,-S26)</f>
        <v>0.2</v>
      </c>
      <c r="W26" s="286">
        <f>SUM(20%,-T26)</f>
        <v>0.2</v>
      </c>
      <c r="X26" s="286">
        <f>SUM(20%,-U26)</f>
        <v>0.2</v>
      </c>
      <c r="Y26" s="287">
        <f>IF(X26&lt;0,1,0)</f>
        <v>0</v>
      </c>
      <c r="Z26" s="31"/>
      <c r="AA26" s="23"/>
      <c r="AB26" s="18"/>
    </row>
    <row r="27" spans="1:31" x14ac:dyDescent="0.2">
      <c r="B27" s="18"/>
      <c r="F27" s="5"/>
      <c r="G27" s="5"/>
      <c r="H27" s="5"/>
      <c r="K27" s="7"/>
      <c r="L27" s="179" t="s">
        <v>598</v>
      </c>
      <c r="M27" s="113"/>
      <c r="N27" s="113"/>
      <c r="O27" s="247"/>
      <c r="P27" s="115"/>
      <c r="Q27" s="115"/>
      <c r="R27" s="115"/>
      <c r="S27" s="174"/>
      <c r="T27" s="116"/>
      <c r="U27" s="117"/>
      <c r="V27" s="288"/>
      <c r="W27" s="288"/>
      <c r="X27" s="288"/>
      <c r="Y27" s="287"/>
      <c r="Z27" s="31"/>
      <c r="AA27" s="23"/>
      <c r="AB27" s="18"/>
    </row>
    <row r="28" spans="1:31" x14ac:dyDescent="0.2">
      <c r="B28" s="18"/>
      <c r="F28" s="5"/>
      <c r="G28" s="5"/>
      <c r="H28" s="5"/>
      <c r="K28" s="7"/>
      <c r="L28" s="112" t="s">
        <v>652</v>
      </c>
      <c r="M28" s="113"/>
      <c r="N28" s="113"/>
      <c r="O28" s="247"/>
      <c r="P28" s="115"/>
      <c r="Q28" s="115"/>
      <c r="R28" s="115"/>
      <c r="S28" s="116">
        <f>VLOOKUP($C$2,'Kengetallen 2016'!$B$2:$O$382,9,0)</f>
        <v>0.6624802994483846</v>
      </c>
      <c r="T28" s="116">
        <f>Balansprognose!F38</f>
        <v>0.60155447521221639</v>
      </c>
      <c r="U28" s="116">
        <f>Balansprognose!G38</f>
        <v>0.62149243951793787</v>
      </c>
      <c r="V28" s="286">
        <f>SUM(-10%,S28)</f>
        <v>0.56248029944838462</v>
      </c>
      <c r="W28" s="286">
        <f>SUM(-10%,T28)</f>
        <v>0.50155447521221641</v>
      </c>
      <c r="X28" s="286">
        <f>SUM(-10%,U28)</f>
        <v>0.52149243951793789</v>
      </c>
      <c r="Y28" s="287">
        <f>IF(X28&lt;0,1,0)</f>
        <v>0</v>
      </c>
      <c r="Z28" s="31"/>
      <c r="AA28" s="23"/>
      <c r="AB28" s="18"/>
    </row>
    <row r="29" spans="1:31" x14ac:dyDescent="0.2">
      <c r="B29" s="18"/>
      <c r="D29" s="5"/>
      <c r="E29" s="5"/>
      <c r="F29" s="5"/>
      <c r="G29" s="5"/>
      <c r="H29" s="5"/>
      <c r="I29" s="5"/>
      <c r="L29" s="112" t="s">
        <v>587</v>
      </c>
      <c r="M29" s="113"/>
      <c r="N29" s="113"/>
      <c r="O29" s="247"/>
      <c r="P29" s="115"/>
      <c r="Q29" s="115"/>
      <c r="R29" s="115"/>
      <c r="S29" s="116">
        <f>VLOOKUP($C$2,'Kengetallen 2016'!$B$2:$O$382,4,0)</f>
        <v>-3.4132743625264243E-2</v>
      </c>
      <c r="T29" s="116">
        <f>Balansprognose!F42</f>
        <v>-3.6147393104522425E-2</v>
      </c>
      <c r="U29" s="117">
        <f>Balansprognose!G42</f>
        <v>-4.6080929938225532E-2</v>
      </c>
      <c r="V29" s="286">
        <f>SUM(130%,-S29)</f>
        <v>1.3341327436252644</v>
      </c>
      <c r="W29" s="286">
        <f>SUM(130%,-T29)</f>
        <v>1.3361473931045225</v>
      </c>
      <c r="X29" s="286">
        <f>SUM(130%,-U29)</f>
        <v>1.3460809299382255</v>
      </c>
      <c r="Y29" s="287">
        <f>IF(X29&lt;0,1,0)</f>
        <v>0</v>
      </c>
    </row>
    <row r="30" spans="1:31" x14ac:dyDescent="0.2">
      <c r="B30" s="18"/>
      <c r="D30" s="5"/>
      <c r="E30" s="5"/>
      <c r="F30" s="5"/>
      <c r="G30" s="5"/>
      <c r="H30" s="5"/>
      <c r="I30" s="5"/>
      <c r="L30" s="112" t="s">
        <v>95</v>
      </c>
      <c r="M30" s="113"/>
      <c r="N30" s="113"/>
      <c r="O30" s="247"/>
      <c r="P30" s="115"/>
      <c r="Q30" s="115"/>
      <c r="R30" s="115"/>
      <c r="S30" s="116">
        <f>VLOOKUP($C$2,'Kengetallen 2016'!$B$2:$O$382,5,0)</f>
        <v>5.9411393397133645E-2</v>
      </c>
      <c r="T30" s="116">
        <f>Balansprognose!F43</f>
        <v>6.4896576489268276E-2</v>
      </c>
      <c r="U30" s="117">
        <f>Balansprognose!G43</f>
        <v>6.4896576489268276E-2</v>
      </c>
      <c r="V30" s="288"/>
      <c r="W30" s="288"/>
      <c r="X30" s="288"/>
      <c r="Y30" s="289"/>
    </row>
    <row r="31" spans="1:31" x14ac:dyDescent="0.2">
      <c r="A31" s="5"/>
      <c r="B31" s="9"/>
      <c r="C31" s="5"/>
      <c r="D31" s="5"/>
      <c r="E31" s="5"/>
      <c r="F31" s="5"/>
      <c r="G31" s="5"/>
      <c r="H31" s="5"/>
      <c r="I31" s="5"/>
      <c r="L31" s="112" t="s">
        <v>577</v>
      </c>
      <c r="M31" s="113"/>
      <c r="N31" s="113"/>
      <c r="O31" s="247"/>
      <c r="P31" s="115"/>
      <c r="Q31" s="115"/>
      <c r="R31" s="115"/>
      <c r="S31" s="116">
        <f>VLOOKUP($C$2,'Kengetallen 2016'!$B$2:$O$382,6,0)</f>
        <v>-6.6723434541133405E-3</v>
      </c>
      <c r="T31" s="117">
        <f>Balansprognose!F44</f>
        <v>5.8320390071689085E-3</v>
      </c>
      <c r="U31" s="117">
        <f>Balansprognose!G44</f>
        <v>5.8320390071689085E-3</v>
      </c>
      <c r="V31" s="288"/>
      <c r="W31" s="288"/>
      <c r="X31" s="288"/>
      <c r="Y31" s="287"/>
    </row>
    <row r="32" spans="1:31" x14ac:dyDescent="0.2">
      <c r="A32" s="5"/>
      <c r="B32" s="9"/>
      <c r="C32" s="5"/>
      <c r="D32" s="5"/>
      <c r="E32" s="5"/>
      <c r="F32" s="5"/>
      <c r="G32" s="5"/>
      <c r="H32" s="5"/>
      <c r="I32" s="5"/>
      <c r="L32" s="112" t="s">
        <v>777</v>
      </c>
      <c r="M32" s="113"/>
      <c r="N32" s="113"/>
      <c r="O32" s="247"/>
      <c r="P32" s="115"/>
      <c r="Q32" s="115"/>
      <c r="R32" s="115"/>
      <c r="S32" s="220">
        <f>SUM(S29,0.12*S30,-0.67*S31)</f>
        <v>-2.2532906303352269E-2</v>
      </c>
      <c r="T32" s="220">
        <f>SUM(T29,0.12*T30,-0.67*T31)</f>
        <v>-3.2267270060613404E-2</v>
      </c>
      <c r="U32" s="220">
        <f>SUM(U29,0.12*U30,-0.67*U31)</f>
        <v>-4.2200806894316503E-2</v>
      </c>
      <c r="V32" s="286">
        <f>SUM(120%,-0.12*S30,0.67*S31,-S29)</f>
        <v>1.2225329063033523</v>
      </c>
      <c r="W32" s="286">
        <f>SUM(120%,-0.12*T30,0.67*T31,-T29)</f>
        <v>1.2322672700606132</v>
      </c>
      <c r="X32" s="286">
        <f>SUM(120%,-0.12*U30,0.67*U31,-U29)</f>
        <v>1.2422008068943162</v>
      </c>
      <c r="Y32" s="287">
        <f>IF(X32&lt;0,1,0)</f>
        <v>0</v>
      </c>
      <c r="Z32" s="273"/>
      <c r="AA32" s="274"/>
      <c r="AB32" s="273"/>
      <c r="AC32" s="275"/>
      <c r="AD32" s="274"/>
      <c r="AE32" s="274"/>
    </row>
    <row r="33" spans="1:32" x14ac:dyDescent="0.2">
      <c r="A33" s="5"/>
      <c r="B33" s="9"/>
      <c r="C33" s="5"/>
      <c r="D33" s="5"/>
      <c r="E33" s="5"/>
      <c r="F33" s="5"/>
      <c r="G33" s="5"/>
      <c r="H33" s="5"/>
      <c r="I33" s="5"/>
      <c r="L33" s="179" t="s">
        <v>599</v>
      </c>
      <c r="M33" s="113"/>
      <c r="N33" s="113"/>
      <c r="O33" s="247"/>
      <c r="P33" s="115"/>
      <c r="Q33" s="115"/>
      <c r="R33" s="115"/>
      <c r="S33" s="174"/>
      <c r="T33" s="117"/>
      <c r="U33" s="117"/>
      <c r="V33" s="288"/>
      <c r="W33" s="288"/>
      <c r="X33" s="288" t="s">
        <v>907</v>
      </c>
      <c r="Y33" s="287">
        <f>AF33</f>
        <v>0</v>
      </c>
      <c r="Z33" s="273"/>
      <c r="AA33" s="274"/>
      <c r="AB33" s="273"/>
      <c r="AC33" s="275"/>
      <c r="AD33" s="274">
        <f>IF(SUM(Y28:Y32)&gt;0,1,0)</f>
        <v>0</v>
      </c>
      <c r="AE33" s="274">
        <f>IF(SUM(Y34,Y38)&gt;0,1,0)</f>
        <v>1</v>
      </c>
      <c r="AF33" s="276">
        <f>IF(SUM(AD33:AE33)&gt;1,1,0)</f>
        <v>0</v>
      </c>
    </row>
    <row r="34" spans="1:32" x14ac:dyDescent="0.2">
      <c r="A34" s="5"/>
      <c r="B34" s="9"/>
      <c r="C34" s="5"/>
      <c r="D34" s="5"/>
      <c r="E34" s="5"/>
      <c r="F34" s="5"/>
      <c r="G34" s="5"/>
      <c r="H34" s="5"/>
      <c r="I34" s="5"/>
      <c r="L34" s="112" t="s">
        <v>588</v>
      </c>
      <c r="M34" s="113"/>
      <c r="N34" s="113"/>
      <c r="O34" s="247"/>
      <c r="P34" s="115"/>
      <c r="Q34" s="115"/>
      <c r="R34" s="115"/>
      <c r="S34" s="116">
        <f>VLOOKUP($C$2,'Kengetallen 2016'!$B$2:$O$382,10,0)</f>
        <v>4.4511944553884998E-2</v>
      </c>
      <c r="T34" s="220">
        <f>Balansprognose!F45</f>
        <v>-3.2267270060613404E-2</v>
      </c>
      <c r="U34" s="220">
        <f>Balansprognose!G45</f>
        <v>-4.2200806894316503E-2</v>
      </c>
      <c r="V34" s="286">
        <f>S34</f>
        <v>4.4511944553884998E-2</v>
      </c>
      <c r="W34" s="286">
        <f>T34</f>
        <v>-3.2267270060613404E-2</v>
      </c>
      <c r="X34" s="286">
        <f>U34</f>
        <v>-4.2200806894316503E-2</v>
      </c>
      <c r="Y34" s="287">
        <f>IF(SUM(AD34:AF34)&gt;0,1,0)</f>
        <v>1</v>
      </c>
      <c r="Z34" s="273"/>
      <c r="AA34" s="274"/>
      <c r="AB34" s="273"/>
      <c r="AC34" s="275"/>
      <c r="AD34" s="274">
        <f>IF(V34&lt;0,1,0)</f>
        <v>0</v>
      </c>
      <c r="AE34" s="274">
        <f>IF(W34&lt;0,1,0)</f>
        <v>1</v>
      </c>
      <c r="AF34" s="276">
        <f>IF(X34&lt;0,1,0)</f>
        <v>1</v>
      </c>
    </row>
    <row r="35" spans="1:32" x14ac:dyDescent="0.2">
      <c r="A35" s="5"/>
      <c r="B35" s="9"/>
      <c r="C35" s="5"/>
      <c r="D35" s="5"/>
      <c r="E35" s="5"/>
      <c r="F35" s="5"/>
      <c r="G35" s="5"/>
      <c r="H35" s="5"/>
      <c r="I35" s="5"/>
      <c r="L35" s="112" t="s">
        <v>662</v>
      </c>
      <c r="M35" s="113"/>
      <c r="N35" s="113"/>
      <c r="O35" s="247"/>
      <c r="P35" s="115"/>
      <c r="Q35" s="115"/>
      <c r="R35" s="115"/>
      <c r="S35" s="116"/>
      <c r="T35" s="116"/>
      <c r="U35" s="117">
        <f>'Inkomsten &amp; uitgaven'!Q29</f>
        <v>0.52178547418403154</v>
      </c>
      <c r="V35" s="288"/>
      <c r="W35" s="288"/>
      <c r="X35" s="286">
        <f>SUM(75%,-U35)</f>
        <v>0.22821452581596846</v>
      </c>
      <c r="Y35" s="287">
        <f>IF(X35&lt;0,1,0)</f>
        <v>0</v>
      </c>
    </row>
    <row r="36" spans="1:32" x14ac:dyDescent="0.2">
      <c r="A36" s="5"/>
      <c r="B36" s="9"/>
      <c r="C36" s="5"/>
      <c r="D36" s="5"/>
      <c r="E36" s="5"/>
      <c r="F36" s="5"/>
      <c r="G36" s="5"/>
      <c r="H36" s="5"/>
      <c r="I36" s="5"/>
      <c r="L36" s="112" t="s">
        <v>591</v>
      </c>
      <c r="M36" s="113"/>
      <c r="N36" s="118"/>
      <c r="O36" s="248"/>
      <c r="P36" s="119"/>
      <c r="Q36" s="119"/>
      <c r="R36" s="119"/>
      <c r="S36" s="116"/>
      <c r="T36" s="116"/>
      <c r="U36" s="117">
        <f>VLOOKUP(C2,'Data OZB belastingen'!B2:L382,11,0)/Balansprognose!G35</f>
        <v>6.4895737992607144E-2</v>
      </c>
      <c r="V36" s="288"/>
      <c r="W36" s="288"/>
      <c r="X36" s="288">
        <f>U36</f>
        <v>6.4895737992607144E-2</v>
      </c>
      <c r="Y36" s="287">
        <f>IF(X36&lt;0,1,0)</f>
        <v>0</v>
      </c>
    </row>
    <row r="37" spans="1:32" x14ac:dyDescent="0.2">
      <c r="A37" s="5"/>
      <c r="B37" s="5"/>
      <c r="C37" s="5"/>
      <c r="D37" s="5"/>
      <c r="E37" s="5"/>
      <c r="F37" s="5"/>
      <c r="G37" s="5"/>
      <c r="H37" s="5"/>
      <c r="I37" s="5"/>
      <c r="L37" s="179" t="s">
        <v>600</v>
      </c>
      <c r="M37" s="118"/>
      <c r="N37" s="118"/>
      <c r="O37" s="248"/>
      <c r="P37" s="119"/>
      <c r="Q37" s="119"/>
      <c r="R37" s="119"/>
      <c r="S37" s="244"/>
      <c r="T37" s="116"/>
      <c r="U37" s="262"/>
      <c r="V37" s="288"/>
      <c r="W37" s="288"/>
      <c r="X37" s="288"/>
      <c r="Y37" s="287"/>
    </row>
    <row r="38" spans="1:32" x14ac:dyDescent="0.2">
      <c r="A38" s="5"/>
      <c r="B38" s="5"/>
      <c r="C38" s="5"/>
      <c r="D38" s="5"/>
      <c r="E38" s="5"/>
      <c r="F38" s="5"/>
      <c r="G38" s="5"/>
      <c r="H38" s="5"/>
      <c r="I38" s="5"/>
      <c r="L38" s="112" t="s">
        <v>778</v>
      </c>
      <c r="M38" s="115"/>
      <c r="N38" s="115"/>
      <c r="O38" s="174"/>
      <c r="P38" s="115"/>
      <c r="Q38" s="115"/>
      <c r="R38" s="115"/>
      <c r="S38" s="116"/>
      <c r="T38" s="116">
        <f>VLOOKUP($C$2,'Kengetallen 2016'!$B$2:$O$382,11,0)</f>
        <v>2.4928086964994555E-2</v>
      </c>
      <c r="U38" s="116">
        <f>Balansprognose!G47</f>
        <v>2.2244378394151037E-2</v>
      </c>
      <c r="V38" s="288">
        <f>IF(U38&lt;0,-1,0.1)</f>
        <v>0.1</v>
      </c>
      <c r="W38" s="288">
        <f>IF(U38&gt;5%,-1,0.1)</f>
        <v>0.1</v>
      </c>
      <c r="X38" s="288">
        <f>SUM(V38:W38)</f>
        <v>0.2</v>
      </c>
      <c r="Y38" s="287">
        <f>IF(X38&lt;0,1,0)</f>
        <v>0</v>
      </c>
    </row>
    <row r="39" spans="1:32" x14ac:dyDescent="0.2">
      <c r="A39" s="5"/>
      <c r="B39" s="5"/>
      <c r="C39" s="5"/>
      <c r="D39" s="5"/>
      <c r="E39" s="5"/>
      <c r="F39" s="5"/>
      <c r="G39" s="5"/>
      <c r="H39" s="5"/>
      <c r="I39" s="5"/>
      <c r="L39" s="212" t="s">
        <v>101</v>
      </c>
      <c r="M39" s="115"/>
      <c r="N39" s="115"/>
      <c r="O39" s="174"/>
      <c r="P39" s="115"/>
      <c r="Q39" s="115"/>
      <c r="R39" s="115"/>
      <c r="S39" s="116">
        <f>VLOOKUP($C$2,'Kengetallen 2016'!$B$2:$O$382,8,0)</f>
        <v>0.33751970055161545</v>
      </c>
      <c r="T39" s="263">
        <f>Balansprognose!$F$39</f>
        <v>0.33420607464529012</v>
      </c>
      <c r="U39" s="116">
        <f>Balansprognose!$G$39</f>
        <v>0.31639162131279702</v>
      </c>
      <c r="V39" s="286">
        <f>SUM(85%,-S39)</f>
        <v>0.51248029944838458</v>
      </c>
      <c r="W39" s="286">
        <f>SUM(85%,-T39)</f>
        <v>0.51579392535470991</v>
      </c>
      <c r="X39" s="286">
        <f>SUM(85%,-U39)</f>
        <v>0.53360837868720301</v>
      </c>
      <c r="Y39" s="274">
        <f>IF(SUM($Y$40:$Y$41)&gt;0,-1,1)</f>
        <v>1</v>
      </c>
    </row>
    <row r="40" spans="1:32" x14ac:dyDescent="0.2">
      <c r="A40" s="5"/>
      <c r="B40" s="5"/>
      <c r="C40" s="5"/>
      <c r="D40" s="5"/>
      <c r="E40" s="5"/>
      <c r="I40" s="5"/>
      <c r="L40" s="112" t="s">
        <v>889</v>
      </c>
      <c r="M40" s="115"/>
      <c r="N40" s="115"/>
      <c r="O40" s="174"/>
      <c r="P40" s="115"/>
      <c r="Q40" s="115"/>
      <c r="R40" s="115"/>
      <c r="S40" s="116"/>
      <c r="T40" s="116"/>
      <c r="U40" s="269">
        <f>$G$16/$Y$5</f>
        <v>1678.7583510201941</v>
      </c>
      <c r="V40" s="273">
        <f>IF(Macrogegevens!$C$10="Hoog",1667,0)</f>
        <v>0</v>
      </c>
      <c r="W40" s="273">
        <f>IF(Macrogegevens!$C$10="Midden",1285,0)</f>
        <v>1285</v>
      </c>
      <c r="X40" s="273">
        <f>IF(Macrogegevens!$C$10="Laag",1141,0)</f>
        <v>0</v>
      </c>
      <c r="Y40" s="287">
        <f>IF(SUM(U40,-V40,-W40,-X40)&lt;0,1,0)</f>
        <v>0</v>
      </c>
    </row>
    <row r="41" spans="1:32" x14ac:dyDescent="0.2">
      <c r="A41" s="5"/>
      <c r="B41" s="5"/>
      <c r="C41" s="5"/>
      <c r="D41" s="5"/>
      <c r="E41" s="5"/>
      <c r="I41" s="5"/>
      <c r="L41" s="179" t="s">
        <v>601</v>
      </c>
      <c r="M41" s="115"/>
      <c r="N41" s="115"/>
      <c r="O41" s="174"/>
      <c r="P41" s="115"/>
      <c r="Q41" s="115"/>
      <c r="R41" s="115"/>
      <c r="S41" s="174"/>
      <c r="T41" s="263"/>
      <c r="U41" s="116"/>
      <c r="V41" s="273">
        <f>IF(Macrogegevens!$C$10="Hoog",2800,0)</f>
        <v>0</v>
      </c>
      <c r="W41" s="273">
        <f>IF(Macrogegevens!$C$10="Midden",1846,0)</f>
        <v>1846</v>
      </c>
      <c r="X41" s="273">
        <f>IF(Macrogegevens!$C$10="Laag",1624,0)</f>
        <v>0</v>
      </c>
      <c r="Y41" s="287">
        <f>IF(SUM(V41,W41,X41,-U40)&lt;0,1,0)</f>
        <v>0</v>
      </c>
    </row>
    <row r="42" spans="1:32" x14ac:dyDescent="0.2">
      <c r="A42" s="5"/>
      <c r="B42" s="5"/>
      <c r="C42" s="5"/>
      <c r="L42" s="176" t="s">
        <v>908</v>
      </c>
      <c r="M42" s="175"/>
      <c r="N42" s="175"/>
      <c r="O42" s="211"/>
      <c r="P42" s="175"/>
      <c r="Q42" s="175"/>
      <c r="R42" s="175"/>
      <c r="S42" s="211"/>
      <c r="T42" s="211"/>
      <c r="U42" s="204">
        <f>$H$18/SUM($G$15,$G$16)</f>
        <v>0.11499999999999999</v>
      </c>
      <c r="V42" s="288"/>
      <c r="W42" s="288"/>
      <c r="X42" s="288">
        <f>SUM(25%,-U42)</f>
        <v>0.13500000000000001</v>
      </c>
      <c r="Y42" s="287">
        <f>IF(X42&lt;0,1,0)</f>
        <v>0</v>
      </c>
    </row>
    <row r="43" spans="1:32" x14ac:dyDescent="0.2">
      <c r="A43" s="5"/>
      <c r="B43" s="5"/>
      <c r="C43" s="5"/>
      <c r="L43" s="270" t="s">
        <v>890</v>
      </c>
      <c r="M43" s="175"/>
      <c r="N43" s="175"/>
      <c r="O43" s="211">
        <f>SUM(10,-Y43)</f>
        <v>9</v>
      </c>
      <c r="V43" s="288"/>
      <c r="W43" s="288"/>
      <c r="X43" s="288"/>
      <c r="Y43" s="287">
        <f>SUM(Y26,Y28,Y29,Y32,Y33,Y34,Y35,Y36,Y38,Y40,Y41,Y42)</f>
        <v>1</v>
      </c>
    </row>
    <row r="44" spans="1:32" x14ac:dyDescent="0.2">
      <c r="V44" s="31"/>
      <c r="W44" s="31"/>
      <c r="X44" s="31"/>
    </row>
    <row r="45" spans="1:32" x14ac:dyDescent="0.2">
      <c r="P45" s="5"/>
      <c r="Q45" s="48" t="s">
        <v>643</v>
      </c>
      <c r="R45" s="16"/>
      <c r="S45" s="16"/>
      <c r="T45" s="16"/>
      <c r="U45" s="16"/>
      <c r="V45" s="16"/>
      <c r="W45" s="16"/>
      <c r="X45" s="16"/>
      <c r="Y45" s="16"/>
      <c r="Z45" s="16"/>
      <c r="AC45" s="241" t="s">
        <v>143</v>
      </c>
    </row>
    <row r="46" spans="1:32" x14ac:dyDescent="0.2">
      <c r="P46" s="5"/>
      <c r="Q46" s="16" t="s">
        <v>663</v>
      </c>
      <c r="R46" s="16" t="e">
        <f>VLOOKUP($C$2,#REF!,6,0)</f>
        <v>#REF!</v>
      </c>
      <c r="S46" s="16"/>
      <c r="T46" s="16"/>
      <c r="U46" s="16"/>
      <c r="V46" s="16"/>
      <c r="W46" s="16"/>
      <c r="X46" s="16"/>
      <c r="Y46" s="16"/>
      <c r="Z46" s="16"/>
      <c r="AC46" s="241" t="s">
        <v>416</v>
      </c>
    </row>
    <row r="47" spans="1:32" x14ac:dyDescent="0.2">
      <c r="P47" s="5"/>
      <c r="Q47" s="16" t="s">
        <v>664</v>
      </c>
      <c r="R47" s="16" t="e">
        <f>VLOOKUP($C$2,#REF!,8,0)</f>
        <v>#REF!</v>
      </c>
      <c r="S47" s="16"/>
      <c r="T47" s="16"/>
      <c r="U47" s="16"/>
      <c r="V47" s="16"/>
      <c r="W47" s="16"/>
      <c r="X47" s="16"/>
      <c r="Y47" s="16"/>
      <c r="Z47" s="16"/>
      <c r="AC47" s="241" t="s">
        <v>301</v>
      </c>
    </row>
    <row r="48" spans="1:32" x14ac:dyDescent="0.2">
      <c r="P48" s="5"/>
      <c r="Q48" s="16" t="s">
        <v>665</v>
      </c>
      <c r="R48" s="16" t="e">
        <f>VLOOKUP($C$2,#REF!,7,0)</f>
        <v>#REF!</v>
      </c>
      <c r="S48" s="16"/>
      <c r="T48" s="16"/>
      <c r="U48" s="16"/>
      <c r="V48" s="16"/>
      <c r="W48" s="16"/>
      <c r="X48" s="16"/>
      <c r="Y48" s="16"/>
      <c r="Z48" s="16"/>
      <c r="AC48" s="241" t="s">
        <v>223</v>
      </c>
    </row>
    <row r="49" spans="7:29" x14ac:dyDescent="0.2">
      <c r="P49" s="5"/>
      <c r="Q49" s="16" t="s">
        <v>643</v>
      </c>
      <c r="R49" s="16"/>
      <c r="S49" s="16"/>
      <c r="T49" s="16"/>
      <c r="U49" s="16"/>
      <c r="V49" s="16"/>
      <c r="W49" s="16"/>
      <c r="X49" s="16"/>
      <c r="Y49" s="59"/>
      <c r="Z49" s="210"/>
      <c r="AC49" s="241" t="s">
        <v>179</v>
      </c>
    </row>
    <row r="50" spans="7:29" x14ac:dyDescent="0.2">
      <c r="P50" s="5"/>
      <c r="Y50" s="46"/>
      <c r="AA50" s="46"/>
      <c r="AC50" s="241" t="s">
        <v>346</v>
      </c>
    </row>
    <row r="51" spans="7:29" x14ac:dyDescent="0.2">
      <c r="P51" s="5"/>
      <c r="AC51" s="241" t="s">
        <v>347</v>
      </c>
    </row>
    <row r="52" spans="7:29" x14ac:dyDescent="0.2">
      <c r="P52" s="5"/>
      <c r="AC52" s="241" t="s">
        <v>302</v>
      </c>
    </row>
    <row r="53" spans="7:29" x14ac:dyDescent="0.2">
      <c r="P53" s="5"/>
      <c r="AC53" s="241" t="s">
        <v>199</v>
      </c>
    </row>
    <row r="54" spans="7:29" x14ac:dyDescent="0.2">
      <c r="P54" s="5"/>
      <c r="AC54" s="241" t="s">
        <v>511</v>
      </c>
    </row>
    <row r="55" spans="7:29" x14ac:dyDescent="0.2">
      <c r="P55" s="5"/>
      <c r="AC55" s="241" t="s">
        <v>348</v>
      </c>
    </row>
    <row r="56" spans="7:29" x14ac:dyDescent="0.2">
      <c r="P56" s="5"/>
      <c r="AC56" s="241" t="s">
        <v>417</v>
      </c>
    </row>
    <row r="57" spans="7:29" x14ac:dyDescent="0.2">
      <c r="G57" s="3"/>
      <c r="J57" s="3"/>
      <c r="K57" s="3"/>
      <c r="M57" s="3"/>
      <c r="N57" s="3"/>
      <c r="O57" s="3"/>
      <c r="AC57" s="241" t="s">
        <v>180</v>
      </c>
    </row>
    <row r="58" spans="7:29" x14ac:dyDescent="0.2">
      <c r="G58" s="3"/>
      <c r="J58" s="3"/>
      <c r="K58" s="3"/>
      <c r="M58" s="3"/>
      <c r="N58" s="3"/>
      <c r="O58" s="3"/>
      <c r="AC58" s="241" t="s">
        <v>276</v>
      </c>
    </row>
    <row r="59" spans="7:29" x14ac:dyDescent="0.2">
      <c r="G59" s="3"/>
      <c r="J59" s="3"/>
      <c r="K59" s="3"/>
      <c r="M59" s="3"/>
      <c r="N59" s="3"/>
      <c r="O59" s="3"/>
      <c r="AC59" s="241" t="s">
        <v>303</v>
      </c>
    </row>
    <row r="60" spans="7:29" x14ac:dyDescent="0.2">
      <c r="G60" s="3"/>
      <c r="J60" s="3"/>
      <c r="K60" s="3"/>
      <c r="M60" s="3"/>
      <c r="N60" s="3"/>
      <c r="O60" s="3"/>
      <c r="AC60" s="241" t="s">
        <v>304</v>
      </c>
    </row>
    <row r="61" spans="7:29" x14ac:dyDescent="0.2">
      <c r="G61" s="3"/>
      <c r="J61" s="3"/>
      <c r="K61" s="3"/>
      <c r="M61" s="3"/>
      <c r="N61" s="3"/>
      <c r="O61" s="3"/>
      <c r="AC61" s="241" t="s">
        <v>224</v>
      </c>
    </row>
    <row r="62" spans="7:29" x14ac:dyDescent="0.2">
      <c r="G62" s="3"/>
      <c r="J62" s="3"/>
      <c r="K62" s="3"/>
      <c r="M62" s="3"/>
      <c r="N62" s="3"/>
      <c r="O62" s="3"/>
      <c r="AC62" s="241" t="s">
        <v>156</v>
      </c>
    </row>
    <row r="63" spans="7:29" x14ac:dyDescent="0.2">
      <c r="G63" s="3"/>
      <c r="J63" s="3"/>
      <c r="K63" s="3"/>
      <c r="M63" s="3"/>
      <c r="N63" s="3"/>
      <c r="O63" s="3"/>
      <c r="AC63" s="241" t="s">
        <v>225</v>
      </c>
    </row>
    <row r="64" spans="7:29" x14ac:dyDescent="0.2">
      <c r="G64" s="3"/>
      <c r="J64" s="3"/>
      <c r="K64" s="3"/>
      <c r="M64" s="3"/>
      <c r="N64" s="3"/>
      <c r="O64" s="3"/>
      <c r="AC64" s="241" t="s">
        <v>144</v>
      </c>
    </row>
    <row r="65" spans="7:29" x14ac:dyDescent="0.2">
      <c r="G65" s="3"/>
      <c r="J65" s="3"/>
      <c r="K65" s="3"/>
      <c r="M65" s="3"/>
      <c r="N65" s="3"/>
      <c r="O65" s="3"/>
      <c r="AC65" s="241" t="s">
        <v>418</v>
      </c>
    </row>
    <row r="66" spans="7:29" x14ac:dyDescent="0.2">
      <c r="G66" s="3"/>
      <c r="J66" s="3"/>
      <c r="K66" s="3"/>
      <c r="M66" s="3"/>
      <c r="N66" s="3"/>
      <c r="O66" s="3"/>
      <c r="AC66" s="241" t="s">
        <v>419</v>
      </c>
    </row>
    <row r="67" spans="7:29" x14ac:dyDescent="0.2">
      <c r="G67" s="3"/>
      <c r="J67" s="3"/>
      <c r="K67" s="3"/>
      <c r="M67" s="3"/>
      <c r="N67" s="3"/>
      <c r="O67" s="3"/>
      <c r="AC67" s="241" t="s">
        <v>277</v>
      </c>
    </row>
    <row r="68" spans="7:29" x14ac:dyDescent="0.2">
      <c r="G68" s="3"/>
      <c r="J68" s="3"/>
      <c r="K68" s="3"/>
      <c r="M68" s="3"/>
      <c r="N68" s="3"/>
      <c r="O68" s="3"/>
      <c r="AC68" s="241" t="s">
        <v>349</v>
      </c>
    </row>
    <row r="69" spans="7:29" x14ac:dyDescent="0.2">
      <c r="G69" s="3"/>
      <c r="J69" s="3"/>
      <c r="K69" s="3"/>
      <c r="M69" s="3"/>
      <c r="N69" s="3"/>
      <c r="O69" s="3"/>
      <c r="AC69" s="241" t="s">
        <v>226</v>
      </c>
    </row>
    <row r="70" spans="7:29" x14ac:dyDescent="0.2">
      <c r="G70" s="3"/>
      <c r="J70" s="3"/>
      <c r="K70" s="3"/>
      <c r="M70" s="3"/>
      <c r="N70" s="3"/>
      <c r="O70" s="3"/>
      <c r="AC70" s="241" t="s">
        <v>157</v>
      </c>
    </row>
    <row r="71" spans="7:29" x14ac:dyDescent="0.2">
      <c r="G71" s="3"/>
      <c r="J71" s="3"/>
      <c r="K71" s="3"/>
      <c r="M71" s="3"/>
      <c r="N71" s="3"/>
      <c r="O71" s="3"/>
      <c r="AC71" s="241" t="s">
        <v>479</v>
      </c>
    </row>
    <row r="72" spans="7:29" x14ac:dyDescent="0.2">
      <c r="G72" s="3"/>
      <c r="J72" s="3"/>
      <c r="K72" s="3"/>
      <c r="M72" s="3"/>
      <c r="N72" s="3"/>
      <c r="O72" s="3"/>
      <c r="AC72" s="241" t="s">
        <v>305</v>
      </c>
    </row>
    <row r="73" spans="7:29" x14ac:dyDescent="0.2">
      <c r="G73" s="3"/>
      <c r="J73" s="3"/>
      <c r="K73" s="3"/>
      <c r="M73" s="3"/>
      <c r="N73" s="3"/>
      <c r="O73" s="3"/>
      <c r="AC73" s="241" t="s">
        <v>480</v>
      </c>
    </row>
    <row r="74" spans="7:29" x14ac:dyDescent="0.2">
      <c r="G74" s="3"/>
      <c r="J74" s="3"/>
      <c r="K74" s="3"/>
      <c r="M74" s="3"/>
      <c r="N74" s="3"/>
      <c r="O74" s="3"/>
      <c r="AC74" s="241" t="s">
        <v>639</v>
      </c>
    </row>
    <row r="75" spans="7:29" x14ac:dyDescent="0.2">
      <c r="G75" s="3"/>
      <c r="J75" s="3"/>
      <c r="K75" s="3"/>
      <c r="M75" s="3"/>
      <c r="N75" s="3"/>
      <c r="O75" s="3"/>
      <c r="AC75" s="241" t="s">
        <v>420</v>
      </c>
    </row>
    <row r="76" spans="7:29" x14ac:dyDescent="0.2">
      <c r="G76" s="3"/>
      <c r="J76" s="3"/>
      <c r="K76" s="3"/>
      <c r="M76" s="3"/>
      <c r="N76" s="3"/>
      <c r="O76" s="3"/>
      <c r="AC76" s="241" t="s">
        <v>519</v>
      </c>
    </row>
    <row r="77" spans="7:29" x14ac:dyDescent="0.2">
      <c r="G77" s="3"/>
      <c r="J77" s="3"/>
      <c r="K77" s="3"/>
      <c r="M77" s="3"/>
      <c r="N77" s="3"/>
      <c r="O77" s="3"/>
      <c r="AC77" s="241" t="s">
        <v>520</v>
      </c>
    </row>
    <row r="78" spans="7:29" x14ac:dyDescent="0.2">
      <c r="G78" s="3"/>
      <c r="J78" s="3"/>
      <c r="K78" s="3"/>
      <c r="M78" s="3"/>
      <c r="N78" s="3"/>
      <c r="O78" s="3"/>
      <c r="AC78" s="241" t="s">
        <v>421</v>
      </c>
    </row>
    <row r="79" spans="7:29" x14ac:dyDescent="0.2">
      <c r="G79" s="3"/>
      <c r="J79" s="3"/>
      <c r="K79" s="3"/>
      <c r="M79" s="3"/>
      <c r="N79" s="3"/>
      <c r="O79" s="3"/>
      <c r="AC79" s="241" t="s">
        <v>227</v>
      </c>
    </row>
    <row r="80" spans="7:29" x14ac:dyDescent="0.2">
      <c r="G80" s="3"/>
      <c r="J80" s="3"/>
      <c r="K80" s="3"/>
      <c r="M80" s="3"/>
      <c r="N80" s="3"/>
      <c r="O80" s="3"/>
      <c r="AC80" s="241" t="s">
        <v>422</v>
      </c>
    </row>
    <row r="81" spans="16:29" x14ac:dyDescent="0.2">
      <c r="P81" s="5"/>
      <c r="AC81" s="241" t="s">
        <v>423</v>
      </c>
    </row>
    <row r="82" spans="16:29" x14ac:dyDescent="0.2">
      <c r="P82" s="5"/>
      <c r="AC82" s="241" t="s">
        <v>228</v>
      </c>
    </row>
    <row r="83" spans="16:29" x14ac:dyDescent="0.2">
      <c r="P83" s="5"/>
      <c r="AC83" s="241" t="s">
        <v>306</v>
      </c>
    </row>
    <row r="84" spans="16:29" x14ac:dyDescent="0.2">
      <c r="P84" s="5"/>
      <c r="AC84" s="241" t="s">
        <v>350</v>
      </c>
    </row>
    <row r="85" spans="16:29" x14ac:dyDescent="0.2">
      <c r="P85" s="5"/>
      <c r="AC85" s="241" t="s">
        <v>424</v>
      </c>
    </row>
    <row r="86" spans="16:29" x14ac:dyDescent="0.2">
      <c r="P86" s="5"/>
      <c r="AC86" s="241" t="s">
        <v>307</v>
      </c>
    </row>
    <row r="87" spans="16:29" x14ac:dyDescent="0.2">
      <c r="P87" s="5"/>
      <c r="AC87" s="241" t="s">
        <v>308</v>
      </c>
    </row>
    <row r="88" spans="16:29" x14ac:dyDescent="0.2">
      <c r="P88" s="5"/>
      <c r="AC88" s="241" t="s">
        <v>351</v>
      </c>
    </row>
    <row r="89" spans="16:29" x14ac:dyDescent="0.2">
      <c r="P89" s="5"/>
      <c r="AC89" s="241" t="s">
        <v>425</v>
      </c>
    </row>
    <row r="90" spans="16:29" x14ac:dyDescent="0.2">
      <c r="P90" s="5"/>
      <c r="AC90" s="241" t="s">
        <v>145</v>
      </c>
    </row>
    <row r="91" spans="16:29" x14ac:dyDescent="0.2">
      <c r="P91" s="5"/>
      <c r="AC91" s="241" t="s">
        <v>200</v>
      </c>
    </row>
    <row r="92" spans="16:29" x14ac:dyDescent="0.2">
      <c r="P92" s="5"/>
      <c r="AC92" s="241" t="s">
        <v>403</v>
      </c>
    </row>
    <row r="93" spans="16:29" x14ac:dyDescent="0.2">
      <c r="P93" s="5"/>
      <c r="AC93" s="241" t="s">
        <v>426</v>
      </c>
    </row>
    <row r="94" spans="16:29" x14ac:dyDescent="0.2">
      <c r="P94" s="5"/>
      <c r="AC94" s="241" t="s">
        <v>427</v>
      </c>
    </row>
    <row r="95" spans="16:29" x14ac:dyDescent="0.2">
      <c r="P95" s="5"/>
      <c r="AC95" s="241" t="s">
        <v>428</v>
      </c>
    </row>
    <row r="96" spans="16:29" x14ac:dyDescent="0.2">
      <c r="P96" s="5"/>
      <c r="AC96" s="241" t="s">
        <v>352</v>
      </c>
    </row>
    <row r="97" spans="16:29" x14ac:dyDescent="0.2">
      <c r="P97" s="5"/>
      <c r="AC97" s="241" t="s">
        <v>229</v>
      </c>
    </row>
    <row r="98" spans="16:29" x14ac:dyDescent="0.2">
      <c r="P98" s="5"/>
      <c r="AC98" s="241" t="s">
        <v>230</v>
      </c>
    </row>
    <row r="99" spans="16:29" x14ac:dyDescent="0.2">
      <c r="P99" s="5"/>
      <c r="AC99" s="241" t="s">
        <v>481</v>
      </c>
    </row>
    <row r="100" spans="16:29" x14ac:dyDescent="0.2">
      <c r="P100" s="5"/>
      <c r="AC100" s="241" t="s">
        <v>278</v>
      </c>
    </row>
    <row r="101" spans="16:29" x14ac:dyDescent="0.2">
      <c r="P101" s="5"/>
      <c r="AC101" s="241" t="s">
        <v>279</v>
      </c>
    </row>
    <row r="102" spans="16:29" x14ac:dyDescent="0.2">
      <c r="P102" s="5"/>
      <c r="AC102" s="241" t="s">
        <v>231</v>
      </c>
    </row>
    <row r="103" spans="16:29" x14ac:dyDescent="0.2">
      <c r="P103" s="5"/>
      <c r="AC103" s="241" t="s">
        <v>353</v>
      </c>
    </row>
    <row r="104" spans="16:29" x14ac:dyDescent="0.2">
      <c r="P104" s="5"/>
      <c r="AC104" s="241" t="s">
        <v>309</v>
      </c>
    </row>
    <row r="105" spans="16:29" x14ac:dyDescent="0.2">
      <c r="P105" s="5"/>
      <c r="AC105" s="241" t="s">
        <v>146</v>
      </c>
    </row>
    <row r="106" spans="16:29" x14ac:dyDescent="0.2">
      <c r="P106" s="5"/>
      <c r="AC106" s="241" t="s">
        <v>429</v>
      </c>
    </row>
    <row r="107" spans="16:29" x14ac:dyDescent="0.2">
      <c r="P107" s="5"/>
      <c r="AC107" s="241" t="s">
        <v>354</v>
      </c>
    </row>
    <row r="108" spans="16:29" x14ac:dyDescent="0.2">
      <c r="P108" s="5"/>
      <c r="AC108" s="241" t="s">
        <v>430</v>
      </c>
    </row>
    <row r="109" spans="16:29" x14ac:dyDescent="0.2">
      <c r="P109" s="5"/>
      <c r="AC109" s="241" t="s">
        <v>232</v>
      </c>
    </row>
    <row r="110" spans="16:29" x14ac:dyDescent="0.2">
      <c r="P110" s="5"/>
      <c r="AC110" s="241" t="s">
        <v>201</v>
      </c>
    </row>
    <row r="111" spans="16:29" x14ac:dyDescent="0.2">
      <c r="P111" s="5"/>
      <c r="AC111" s="241" t="s">
        <v>181</v>
      </c>
    </row>
    <row r="112" spans="16:29" x14ac:dyDescent="0.2">
      <c r="P112" s="5"/>
      <c r="AC112" s="241" t="s">
        <v>280</v>
      </c>
    </row>
    <row r="113" spans="16:29" x14ac:dyDescent="0.2">
      <c r="P113" s="5"/>
      <c r="AC113" s="241" t="s">
        <v>641</v>
      </c>
    </row>
    <row r="114" spans="16:29" x14ac:dyDescent="0.2">
      <c r="P114" s="5"/>
      <c r="AC114" s="241" t="s">
        <v>159</v>
      </c>
    </row>
    <row r="115" spans="16:29" x14ac:dyDescent="0.2">
      <c r="P115" s="5"/>
      <c r="AC115" s="241" t="s">
        <v>281</v>
      </c>
    </row>
    <row r="116" spans="16:29" x14ac:dyDescent="0.2">
      <c r="P116" s="5"/>
      <c r="AC116" s="241" t="s">
        <v>154</v>
      </c>
    </row>
    <row r="117" spans="16:29" x14ac:dyDescent="0.2">
      <c r="P117" s="5"/>
      <c r="AC117" s="241" t="s">
        <v>355</v>
      </c>
    </row>
    <row r="118" spans="16:29" x14ac:dyDescent="0.2">
      <c r="P118" s="5"/>
      <c r="AC118" s="241" t="s">
        <v>160</v>
      </c>
    </row>
    <row r="119" spans="16:29" x14ac:dyDescent="0.2">
      <c r="P119" s="5"/>
      <c r="AC119" s="241" t="s">
        <v>310</v>
      </c>
    </row>
    <row r="120" spans="16:29" x14ac:dyDescent="0.2">
      <c r="P120" s="5"/>
      <c r="AC120" s="241" t="s">
        <v>431</v>
      </c>
    </row>
    <row r="121" spans="16:29" x14ac:dyDescent="0.2">
      <c r="P121" s="5"/>
      <c r="AC121" s="241" t="s">
        <v>202</v>
      </c>
    </row>
    <row r="122" spans="16:29" x14ac:dyDescent="0.2">
      <c r="P122" s="5"/>
      <c r="AC122" s="241" t="s">
        <v>311</v>
      </c>
    </row>
    <row r="123" spans="16:29" x14ac:dyDescent="0.2">
      <c r="P123" s="5"/>
      <c r="AC123" s="241" t="s">
        <v>203</v>
      </c>
    </row>
    <row r="124" spans="16:29" x14ac:dyDescent="0.2">
      <c r="P124" s="5"/>
      <c r="AC124" s="241" t="s">
        <v>233</v>
      </c>
    </row>
    <row r="125" spans="16:29" x14ac:dyDescent="0.2">
      <c r="P125" s="5"/>
      <c r="AC125" s="241" t="s">
        <v>234</v>
      </c>
    </row>
    <row r="126" spans="16:29" x14ac:dyDescent="0.2">
      <c r="P126" s="5"/>
      <c r="AC126" s="241" t="s">
        <v>432</v>
      </c>
    </row>
    <row r="127" spans="16:29" x14ac:dyDescent="0.2">
      <c r="P127" s="5"/>
      <c r="AC127" s="241" t="s">
        <v>182</v>
      </c>
    </row>
    <row r="128" spans="16:29" x14ac:dyDescent="0.2">
      <c r="P128" s="5"/>
      <c r="AC128" s="241" t="s">
        <v>356</v>
      </c>
    </row>
    <row r="129" spans="16:29" x14ac:dyDescent="0.2">
      <c r="P129" s="5"/>
      <c r="AC129" s="241" t="s">
        <v>312</v>
      </c>
    </row>
    <row r="130" spans="16:29" x14ac:dyDescent="0.2">
      <c r="P130" s="5"/>
      <c r="AC130" s="241" t="s">
        <v>433</v>
      </c>
    </row>
    <row r="131" spans="16:29" x14ac:dyDescent="0.2">
      <c r="P131" s="5"/>
      <c r="AC131" s="241" t="s">
        <v>512</v>
      </c>
    </row>
    <row r="132" spans="16:29" x14ac:dyDescent="0.2">
      <c r="P132" s="5"/>
      <c r="AC132" s="241" t="s">
        <v>235</v>
      </c>
    </row>
    <row r="133" spans="16:29" x14ac:dyDescent="0.2">
      <c r="P133" s="5"/>
      <c r="AC133" s="241" t="s">
        <v>236</v>
      </c>
    </row>
    <row r="134" spans="16:29" x14ac:dyDescent="0.2">
      <c r="P134" s="5"/>
      <c r="AC134" s="241" t="s">
        <v>482</v>
      </c>
    </row>
    <row r="135" spans="16:29" x14ac:dyDescent="0.2">
      <c r="P135" s="5"/>
      <c r="AC135" s="241" t="s">
        <v>313</v>
      </c>
    </row>
    <row r="136" spans="16:29" x14ac:dyDescent="0.2">
      <c r="P136" s="5"/>
      <c r="AC136" s="241" t="s">
        <v>237</v>
      </c>
    </row>
    <row r="137" spans="16:29" x14ac:dyDescent="0.2">
      <c r="P137" s="5"/>
      <c r="AC137" s="241" t="s">
        <v>282</v>
      </c>
    </row>
    <row r="138" spans="16:29" x14ac:dyDescent="0.2">
      <c r="P138" s="5"/>
      <c r="AC138" s="241" t="s">
        <v>161</v>
      </c>
    </row>
    <row r="139" spans="16:29" x14ac:dyDescent="0.2">
      <c r="P139" s="5"/>
      <c r="AC139" s="241" t="s">
        <v>434</v>
      </c>
    </row>
    <row r="140" spans="16:29" x14ac:dyDescent="0.2">
      <c r="P140" s="5"/>
      <c r="AC140" s="241" t="s">
        <v>483</v>
      </c>
    </row>
    <row r="141" spans="16:29" x14ac:dyDescent="0.2">
      <c r="P141" s="5"/>
      <c r="AC141" s="241" t="s">
        <v>435</v>
      </c>
    </row>
    <row r="142" spans="16:29" x14ac:dyDescent="0.2">
      <c r="P142" s="5"/>
      <c r="AC142" s="241" t="s">
        <v>238</v>
      </c>
    </row>
    <row r="143" spans="16:29" x14ac:dyDescent="0.2">
      <c r="P143" s="5"/>
      <c r="AC143" s="241" t="s">
        <v>147</v>
      </c>
    </row>
    <row r="144" spans="16:29" x14ac:dyDescent="0.2">
      <c r="P144" s="5"/>
      <c r="AC144" s="241" t="s">
        <v>314</v>
      </c>
    </row>
    <row r="145" spans="16:29" x14ac:dyDescent="0.2">
      <c r="P145" s="5"/>
      <c r="AC145" s="241" t="s">
        <v>204</v>
      </c>
    </row>
    <row r="146" spans="16:29" x14ac:dyDescent="0.2">
      <c r="P146" s="5"/>
      <c r="AC146" s="241" t="s">
        <v>239</v>
      </c>
    </row>
    <row r="147" spans="16:29" x14ac:dyDescent="0.2">
      <c r="P147" s="5"/>
      <c r="AC147" s="241" t="s">
        <v>240</v>
      </c>
    </row>
    <row r="148" spans="16:29" x14ac:dyDescent="0.2">
      <c r="P148" s="5"/>
      <c r="AC148" s="241" t="s">
        <v>436</v>
      </c>
    </row>
    <row r="149" spans="16:29" x14ac:dyDescent="0.2">
      <c r="P149" s="5"/>
      <c r="AC149" s="241" t="s">
        <v>183</v>
      </c>
    </row>
    <row r="150" spans="16:29" x14ac:dyDescent="0.2">
      <c r="P150" s="5"/>
      <c r="AC150" s="241" t="s">
        <v>437</v>
      </c>
    </row>
    <row r="151" spans="16:29" x14ac:dyDescent="0.2">
      <c r="P151" s="5"/>
      <c r="AC151" s="241" t="s">
        <v>241</v>
      </c>
    </row>
    <row r="152" spans="16:29" x14ac:dyDescent="0.2">
      <c r="P152" s="5"/>
      <c r="AC152" s="241" t="s">
        <v>438</v>
      </c>
    </row>
    <row r="153" spans="16:29" x14ac:dyDescent="0.2">
      <c r="P153" s="5"/>
      <c r="AC153" s="241" t="s">
        <v>439</v>
      </c>
    </row>
    <row r="154" spans="16:29" x14ac:dyDescent="0.2">
      <c r="P154" s="5"/>
      <c r="AC154" s="241" t="s">
        <v>484</v>
      </c>
    </row>
    <row r="155" spans="16:29" x14ac:dyDescent="0.2">
      <c r="P155" s="5"/>
      <c r="AC155" s="241" t="s">
        <v>357</v>
      </c>
    </row>
    <row r="156" spans="16:29" x14ac:dyDescent="0.2">
      <c r="P156" s="5"/>
      <c r="AC156" s="241" t="s">
        <v>440</v>
      </c>
    </row>
    <row r="157" spans="16:29" x14ac:dyDescent="0.2">
      <c r="P157" s="5"/>
      <c r="AC157" s="241" t="s">
        <v>358</v>
      </c>
    </row>
    <row r="158" spans="16:29" x14ac:dyDescent="0.2">
      <c r="P158" s="5"/>
      <c r="AC158" s="241" t="s">
        <v>404</v>
      </c>
    </row>
    <row r="159" spans="16:29" x14ac:dyDescent="0.2">
      <c r="P159" s="5"/>
      <c r="AC159" s="241" t="s">
        <v>441</v>
      </c>
    </row>
    <row r="160" spans="16:29" x14ac:dyDescent="0.2">
      <c r="P160" s="5"/>
      <c r="AC160" s="241" t="s">
        <v>586</v>
      </c>
    </row>
    <row r="161" spans="16:29" x14ac:dyDescent="0.2">
      <c r="P161" s="5"/>
      <c r="AC161" s="241" t="s">
        <v>359</v>
      </c>
    </row>
    <row r="162" spans="16:29" x14ac:dyDescent="0.2">
      <c r="P162" s="5"/>
      <c r="AC162" s="241" t="s">
        <v>360</v>
      </c>
    </row>
    <row r="163" spans="16:29" x14ac:dyDescent="0.2">
      <c r="P163" s="5"/>
      <c r="AC163" s="241" t="s">
        <v>442</v>
      </c>
    </row>
    <row r="164" spans="16:29" x14ac:dyDescent="0.2">
      <c r="P164" s="5"/>
      <c r="AC164" s="241" t="s">
        <v>162</v>
      </c>
    </row>
    <row r="165" spans="16:29" x14ac:dyDescent="0.2">
      <c r="P165" s="5"/>
      <c r="AC165" s="241" t="s">
        <v>163</v>
      </c>
    </row>
    <row r="166" spans="16:29" x14ac:dyDescent="0.2">
      <c r="P166" s="5"/>
      <c r="AC166" s="241" t="s">
        <v>485</v>
      </c>
    </row>
    <row r="167" spans="16:29" x14ac:dyDescent="0.2">
      <c r="P167" s="5"/>
      <c r="AC167" s="241" t="s">
        <v>205</v>
      </c>
    </row>
    <row r="168" spans="16:29" x14ac:dyDescent="0.2">
      <c r="P168" s="5"/>
      <c r="AC168" s="241" t="s">
        <v>443</v>
      </c>
    </row>
    <row r="169" spans="16:29" x14ac:dyDescent="0.2">
      <c r="P169" s="5"/>
      <c r="AC169" s="241" t="s">
        <v>315</v>
      </c>
    </row>
    <row r="170" spans="16:29" x14ac:dyDescent="0.2">
      <c r="P170" s="5"/>
      <c r="AC170" s="241" t="s">
        <v>521</v>
      </c>
    </row>
    <row r="171" spans="16:29" x14ac:dyDescent="0.2">
      <c r="P171" s="5"/>
      <c r="AC171" s="241" t="s">
        <v>316</v>
      </c>
    </row>
    <row r="172" spans="16:29" x14ac:dyDescent="0.2">
      <c r="P172" s="5"/>
      <c r="AC172" s="241" t="s">
        <v>444</v>
      </c>
    </row>
    <row r="173" spans="16:29" x14ac:dyDescent="0.2">
      <c r="P173" s="5"/>
      <c r="AC173" s="241" t="s">
        <v>206</v>
      </c>
    </row>
    <row r="174" spans="16:29" x14ac:dyDescent="0.2">
      <c r="P174" s="5"/>
      <c r="AC174" s="241" t="s">
        <v>242</v>
      </c>
    </row>
    <row r="175" spans="16:29" x14ac:dyDescent="0.2">
      <c r="P175" s="5"/>
      <c r="AC175" s="241" t="s">
        <v>361</v>
      </c>
    </row>
    <row r="176" spans="16:29" x14ac:dyDescent="0.2">
      <c r="P176" s="5"/>
      <c r="AC176" s="241" t="s">
        <v>164</v>
      </c>
    </row>
    <row r="177" spans="16:29" x14ac:dyDescent="0.2">
      <c r="P177" s="5"/>
      <c r="AC177" s="241" t="s">
        <v>185</v>
      </c>
    </row>
    <row r="178" spans="16:29" x14ac:dyDescent="0.2">
      <c r="P178" s="5"/>
      <c r="AC178" s="241" t="s">
        <v>243</v>
      </c>
    </row>
    <row r="179" spans="16:29" x14ac:dyDescent="0.2">
      <c r="P179" s="5"/>
      <c r="AC179" s="241" t="s">
        <v>317</v>
      </c>
    </row>
    <row r="180" spans="16:29" x14ac:dyDescent="0.2">
      <c r="P180" s="5"/>
      <c r="AC180" s="241" t="s">
        <v>318</v>
      </c>
    </row>
    <row r="181" spans="16:29" x14ac:dyDescent="0.2">
      <c r="P181" s="5"/>
      <c r="AC181" s="241" t="s">
        <v>244</v>
      </c>
    </row>
    <row r="182" spans="16:29" x14ac:dyDescent="0.2">
      <c r="P182" s="5"/>
      <c r="AC182" s="241" t="s">
        <v>186</v>
      </c>
    </row>
    <row r="183" spans="16:29" x14ac:dyDescent="0.2">
      <c r="P183" s="5"/>
      <c r="AC183" s="241" t="s">
        <v>319</v>
      </c>
    </row>
    <row r="184" spans="16:29" x14ac:dyDescent="0.2">
      <c r="P184" s="5"/>
      <c r="AC184" s="241" t="s">
        <v>486</v>
      </c>
    </row>
    <row r="185" spans="16:29" x14ac:dyDescent="0.2">
      <c r="P185" s="5"/>
      <c r="AC185" s="241" t="s">
        <v>445</v>
      </c>
    </row>
    <row r="186" spans="16:29" x14ac:dyDescent="0.2">
      <c r="P186" s="5"/>
      <c r="AC186" s="241" t="s">
        <v>320</v>
      </c>
    </row>
    <row r="187" spans="16:29" x14ac:dyDescent="0.2">
      <c r="P187" s="5"/>
      <c r="AC187" s="241" t="s">
        <v>207</v>
      </c>
    </row>
    <row r="188" spans="16:29" x14ac:dyDescent="0.2">
      <c r="P188" s="5"/>
      <c r="AC188" s="241" t="s">
        <v>362</v>
      </c>
    </row>
    <row r="189" spans="16:29" x14ac:dyDescent="0.2">
      <c r="P189" s="5"/>
      <c r="AC189" s="241" t="s">
        <v>446</v>
      </c>
    </row>
    <row r="190" spans="16:29" x14ac:dyDescent="0.2">
      <c r="P190" s="5"/>
      <c r="AC190" s="241" t="s">
        <v>363</v>
      </c>
    </row>
    <row r="191" spans="16:29" x14ac:dyDescent="0.2">
      <c r="P191" s="5"/>
      <c r="AC191" s="241" t="s">
        <v>529</v>
      </c>
    </row>
    <row r="192" spans="16:29" x14ac:dyDescent="0.2">
      <c r="P192" s="5"/>
      <c r="AC192" s="241" t="s">
        <v>245</v>
      </c>
    </row>
    <row r="193" spans="16:29" x14ac:dyDescent="0.2">
      <c r="P193" s="5"/>
      <c r="AC193" s="241" t="s">
        <v>447</v>
      </c>
    </row>
    <row r="194" spans="16:29" x14ac:dyDescent="0.2">
      <c r="P194" s="5"/>
      <c r="AC194" s="241" t="s">
        <v>364</v>
      </c>
    </row>
    <row r="195" spans="16:29" x14ac:dyDescent="0.2">
      <c r="P195" s="5"/>
      <c r="AC195" s="241" t="s">
        <v>448</v>
      </c>
    </row>
    <row r="196" spans="16:29" x14ac:dyDescent="0.2">
      <c r="P196" s="5"/>
      <c r="AC196" s="241" t="s">
        <v>321</v>
      </c>
    </row>
    <row r="197" spans="16:29" x14ac:dyDescent="0.2">
      <c r="P197" s="5"/>
      <c r="AC197" s="241" t="s">
        <v>208</v>
      </c>
    </row>
    <row r="198" spans="16:29" x14ac:dyDescent="0.2">
      <c r="P198" s="5"/>
      <c r="AC198" s="241" t="s">
        <v>322</v>
      </c>
    </row>
    <row r="199" spans="16:29" x14ac:dyDescent="0.2">
      <c r="P199" s="5"/>
      <c r="AC199" s="241" t="s">
        <v>148</v>
      </c>
    </row>
    <row r="200" spans="16:29" x14ac:dyDescent="0.2">
      <c r="P200" s="5"/>
      <c r="AC200" s="241" t="s">
        <v>323</v>
      </c>
    </row>
    <row r="201" spans="16:29" x14ac:dyDescent="0.2">
      <c r="P201" s="5"/>
      <c r="AC201" s="241" t="s">
        <v>487</v>
      </c>
    </row>
    <row r="202" spans="16:29" x14ac:dyDescent="0.2">
      <c r="P202" s="5"/>
      <c r="AC202" s="241" t="s">
        <v>283</v>
      </c>
    </row>
    <row r="203" spans="16:29" x14ac:dyDescent="0.2">
      <c r="P203" s="5"/>
      <c r="AC203" s="241" t="s">
        <v>324</v>
      </c>
    </row>
    <row r="204" spans="16:29" x14ac:dyDescent="0.2">
      <c r="P204" s="5"/>
      <c r="AC204" s="241" t="s">
        <v>405</v>
      </c>
    </row>
    <row r="205" spans="16:29" x14ac:dyDescent="0.2">
      <c r="P205" s="5"/>
      <c r="AC205" s="241" t="s">
        <v>284</v>
      </c>
    </row>
    <row r="206" spans="16:29" x14ac:dyDescent="0.2">
      <c r="P206" s="5"/>
      <c r="AC206" s="241" t="s">
        <v>365</v>
      </c>
    </row>
    <row r="207" spans="16:29" x14ac:dyDescent="0.2">
      <c r="P207" s="5"/>
      <c r="AC207" s="241" t="s">
        <v>209</v>
      </c>
    </row>
    <row r="208" spans="16:29" x14ac:dyDescent="0.2">
      <c r="P208" s="5"/>
      <c r="AC208" s="241" t="s">
        <v>406</v>
      </c>
    </row>
    <row r="209" spans="16:29" x14ac:dyDescent="0.2">
      <c r="P209" s="5"/>
      <c r="AC209" s="241" t="s">
        <v>366</v>
      </c>
    </row>
    <row r="210" spans="16:29" x14ac:dyDescent="0.2">
      <c r="P210" s="5"/>
      <c r="AC210" s="241" t="s">
        <v>488</v>
      </c>
    </row>
    <row r="211" spans="16:29" x14ac:dyDescent="0.2">
      <c r="P211" s="5"/>
      <c r="AC211" s="241" t="s">
        <v>325</v>
      </c>
    </row>
    <row r="212" spans="16:29" x14ac:dyDescent="0.2">
      <c r="P212" s="5"/>
      <c r="AC212" s="241" t="s">
        <v>517</v>
      </c>
    </row>
    <row r="213" spans="16:29" x14ac:dyDescent="0.2">
      <c r="P213" s="5"/>
      <c r="AC213" s="241" t="s">
        <v>367</v>
      </c>
    </row>
    <row r="214" spans="16:29" x14ac:dyDescent="0.2">
      <c r="P214" s="5"/>
      <c r="AC214" s="241" t="s">
        <v>368</v>
      </c>
    </row>
    <row r="215" spans="16:29" x14ac:dyDescent="0.2">
      <c r="P215" s="5"/>
      <c r="AC215" s="241" t="s">
        <v>567</v>
      </c>
    </row>
    <row r="216" spans="16:29" x14ac:dyDescent="0.2">
      <c r="P216" s="5"/>
      <c r="AC216" s="241" t="s">
        <v>449</v>
      </c>
    </row>
    <row r="217" spans="16:29" x14ac:dyDescent="0.2">
      <c r="P217" s="5"/>
      <c r="AC217" s="241" t="s">
        <v>450</v>
      </c>
    </row>
    <row r="218" spans="16:29" x14ac:dyDescent="0.2">
      <c r="P218" s="5"/>
      <c r="AC218" s="241" t="s">
        <v>489</v>
      </c>
    </row>
    <row r="219" spans="16:29" x14ac:dyDescent="0.2">
      <c r="P219" s="5"/>
      <c r="AC219" s="241" t="s">
        <v>326</v>
      </c>
    </row>
    <row r="220" spans="16:29" x14ac:dyDescent="0.2">
      <c r="P220" s="5"/>
      <c r="AC220" s="241" t="s">
        <v>327</v>
      </c>
    </row>
    <row r="221" spans="16:29" x14ac:dyDescent="0.2">
      <c r="P221" s="5"/>
      <c r="AC221" s="241" t="s">
        <v>369</v>
      </c>
    </row>
    <row r="222" spans="16:29" x14ac:dyDescent="0.2">
      <c r="P222" s="5"/>
      <c r="AC222" s="241" t="s">
        <v>328</v>
      </c>
    </row>
    <row r="223" spans="16:29" x14ac:dyDescent="0.2">
      <c r="P223" s="5"/>
      <c r="AC223" s="241" t="s">
        <v>166</v>
      </c>
    </row>
    <row r="224" spans="16:29" x14ac:dyDescent="0.2">
      <c r="P224" s="5"/>
      <c r="AC224" s="241" t="s">
        <v>370</v>
      </c>
    </row>
    <row r="225" spans="16:29" x14ac:dyDescent="0.2">
      <c r="P225" s="5"/>
      <c r="AC225" s="241" t="s">
        <v>187</v>
      </c>
    </row>
    <row r="226" spans="16:29" x14ac:dyDescent="0.2">
      <c r="P226" s="5"/>
      <c r="AC226" s="241" t="s">
        <v>371</v>
      </c>
    </row>
    <row r="227" spans="16:29" x14ac:dyDescent="0.2">
      <c r="P227" s="5"/>
      <c r="AC227" s="241" t="s">
        <v>372</v>
      </c>
    </row>
    <row r="228" spans="16:29" x14ac:dyDescent="0.2">
      <c r="P228" s="5"/>
      <c r="AC228" s="241" t="s">
        <v>373</v>
      </c>
    </row>
    <row r="229" spans="16:29" x14ac:dyDescent="0.2">
      <c r="P229" s="5"/>
      <c r="AC229" s="241" t="s">
        <v>513</v>
      </c>
    </row>
    <row r="230" spans="16:29" x14ac:dyDescent="0.2">
      <c r="P230" s="5"/>
      <c r="AC230" s="241" t="s">
        <v>490</v>
      </c>
    </row>
    <row r="231" spans="16:29" x14ac:dyDescent="0.2">
      <c r="P231" s="5"/>
      <c r="AC231" s="241" t="s">
        <v>285</v>
      </c>
    </row>
    <row r="232" spans="16:29" x14ac:dyDescent="0.2">
      <c r="P232" s="5"/>
      <c r="AC232" s="241" t="s">
        <v>246</v>
      </c>
    </row>
    <row r="233" spans="16:29" x14ac:dyDescent="0.2">
      <c r="P233" s="5"/>
      <c r="AC233" s="241" t="s">
        <v>247</v>
      </c>
    </row>
    <row r="234" spans="16:29" x14ac:dyDescent="0.2">
      <c r="P234" s="5"/>
      <c r="AC234" s="241" t="s">
        <v>374</v>
      </c>
    </row>
    <row r="235" spans="16:29" x14ac:dyDescent="0.2">
      <c r="P235" s="5"/>
      <c r="AC235" s="241" t="s">
        <v>248</v>
      </c>
    </row>
    <row r="236" spans="16:29" x14ac:dyDescent="0.2">
      <c r="P236" s="5"/>
      <c r="AC236" s="241" t="s">
        <v>451</v>
      </c>
    </row>
    <row r="237" spans="16:29" x14ac:dyDescent="0.2">
      <c r="P237" s="5"/>
      <c r="AC237" s="241" t="s">
        <v>286</v>
      </c>
    </row>
    <row r="238" spans="16:29" x14ac:dyDescent="0.2">
      <c r="P238" s="5"/>
      <c r="AC238" s="241" t="s">
        <v>167</v>
      </c>
    </row>
    <row r="239" spans="16:29" x14ac:dyDescent="0.2">
      <c r="P239" s="5"/>
      <c r="AC239" s="241" t="s">
        <v>210</v>
      </c>
    </row>
    <row r="240" spans="16:29" x14ac:dyDescent="0.2">
      <c r="P240" s="5"/>
      <c r="AC240" s="241" t="s">
        <v>249</v>
      </c>
    </row>
    <row r="241" spans="16:29" x14ac:dyDescent="0.2">
      <c r="P241" s="5"/>
      <c r="AC241" s="241" t="s">
        <v>491</v>
      </c>
    </row>
    <row r="242" spans="16:29" x14ac:dyDescent="0.2">
      <c r="P242" s="5"/>
      <c r="AC242" s="241" t="s">
        <v>375</v>
      </c>
    </row>
    <row r="243" spans="16:29" x14ac:dyDescent="0.2">
      <c r="P243" s="5"/>
      <c r="AC243" s="241" t="s">
        <v>492</v>
      </c>
    </row>
    <row r="244" spans="16:29" x14ac:dyDescent="0.2">
      <c r="P244" s="5"/>
      <c r="AC244" s="241" t="s">
        <v>168</v>
      </c>
    </row>
    <row r="245" spans="16:29" x14ac:dyDescent="0.2">
      <c r="P245" s="5"/>
      <c r="AC245" s="241" t="s">
        <v>329</v>
      </c>
    </row>
    <row r="246" spans="16:29" x14ac:dyDescent="0.2">
      <c r="P246" s="5"/>
      <c r="AC246" s="241" t="s">
        <v>493</v>
      </c>
    </row>
    <row r="247" spans="16:29" x14ac:dyDescent="0.2">
      <c r="P247" s="5"/>
      <c r="AC247" s="241" t="s">
        <v>713</v>
      </c>
    </row>
    <row r="248" spans="16:29" x14ac:dyDescent="0.2">
      <c r="P248" s="5"/>
      <c r="AC248" s="241" t="s">
        <v>149</v>
      </c>
    </row>
    <row r="249" spans="16:29" x14ac:dyDescent="0.2">
      <c r="P249" s="5"/>
      <c r="AC249" s="241" t="s">
        <v>407</v>
      </c>
    </row>
    <row r="250" spans="16:29" x14ac:dyDescent="0.2">
      <c r="P250" s="5"/>
      <c r="AC250" s="241" t="s">
        <v>376</v>
      </c>
    </row>
    <row r="251" spans="16:29" x14ac:dyDescent="0.2">
      <c r="P251" s="5"/>
      <c r="AC251" s="241" t="s">
        <v>150</v>
      </c>
    </row>
    <row r="252" spans="16:29" x14ac:dyDescent="0.2">
      <c r="P252" s="5"/>
      <c r="AC252" s="241" t="s">
        <v>819</v>
      </c>
    </row>
    <row r="253" spans="16:29" x14ac:dyDescent="0.2">
      <c r="P253" s="5"/>
      <c r="AC253" s="241" t="s">
        <v>452</v>
      </c>
    </row>
    <row r="254" spans="16:29" x14ac:dyDescent="0.2">
      <c r="P254" s="5"/>
      <c r="AC254" s="241" t="s">
        <v>453</v>
      </c>
    </row>
    <row r="255" spans="16:29" x14ac:dyDescent="0.2">
      <c r="P255" s="5"/>
      <c r="AC255" s="241" t="s">
        <v>377</v>
      </c>
    </row>
    <row r="256" spans="16:29" x14ac:dyDescent="0.2">
      <c r="P256" s="5"/>
      <c r="AC256" s="241" t="s">
        <v>250</v>
      </c>
    </row>
    <row r="257" spans="16:29" x14ac:dyDescent="0.2">
      <c r="P257" s="5"/>
      <c r="AC257" s="241" t="s">
        <v>523</v>
      </c>
    </row>
    <row r="258" spans="16:29" x14ac:dyDescent="0.2">
      <c r="P258" s="5"/>
      <c r="AC258" s="241" t="s">
        <v>494</v>
      </c>
    </row>
    <row r="259" spans="16:29" x14ac:dyDescent="0.2">
      <c r="P259" s="5"/>
      <c r="AC259" s="241" t="s">
        <v>251</v>
      </c>
    </row>
    <row r="260" spans="16:29" x14ac:dyDescent="0.2">
      <c r="P260" s="5"/>
      <c r="AC260" s="241" t="s">
        <v>495</v>
      </c>
    </row>
    <row r="261" spans="16:29" x14ac:dyDescent="0.2">
      <c r="P261" s="5"/>
      <c r="AC261" s="241" t="s">
        <v>252</v>
      </c>
    </row>
    <row r="262" spans="16:29" x14ac:dyDescent="0.2">
      <c r="P262" s="5"/>
      <c r="AC262" s="241" t="s">
        <v>287</v>
      </c>
    </row>
    <row r="263" spans="16:29" x14ac:dyDescent="0.2">
      <c r="P263" s="5"/>
      <c r="AC263" s="241" t="s">
        <v>378</v>
      </c>
    </row>
    <row r="264" spans="16:29" x14ac:dyDescent="0.2">
      <c r="P264" s="5"/>
      <c r="AC264" s="241" t="s">
        <v>253</v>
      </c>
    </row>
    <row r="265" spans="16:29" x14ac:dyDescent="0.2">
      <c r="P265" s="5"/>
      <c r="AC265" s="241" t="s">
        <v>254</v>
      </c>
    </row>
    <row r="266" spans="16:29" x14ac:dyDescent="0.2">
      <c r="P266" s="5"/>
      <c r="AC266" s="241" t="s">
        <v>568</v>
      </c>
    </row>
    <row r="267" spans="16:29" x14ac:dyDescent="0.2">
      <c r="P267" s="5"/>
      <c r="AC267" s="241" t="s">
        <v>408</v>
      </c>
    </row>
    <row r="268" spans="16:29" x14ac:dyDescent="0.2">
      <c r="P268" s="5"/>
      <c r="AC268" s="241" t="s">
        <v>151</v>
      </c>
    </row>
    <row r="269" spans="16:29" x14ac:dyDescent="0.2">
      <c r="P269" s="5"/>
      <c r="AC269" s="241" t="s">
        <v>514</v>
      </c>
    </row>
    <row r="270" spans="16:29" x14ac:dyDescent="0.2">
      <c r="P270" s="5"/>
      <c r="AC270" s="241" t="s">
        <v>379</v>
      </c>
    </row>
    <row r="271" spans="16:29" x14ac:dyDescent="0.2">
      <c r="P271" s="5"/>
      <c r="AC271" s="241" t="s">
        <v>380</v>
      </c>
    </row>
    <row r="272" spans="16:29" x14ac:dyDescent="0.2">
      <c r="P272" s="5"/>
      <c r="AC272" s="241" t="s">
        <v>518</v>
      </c>
    </row>
    <row r="273" spans="16:29" x14ac:dyDescent="0.2">
      <c r="P273" s="5"/>
      <c r="AC273" s="241" t="s">
        <v>255</v>
      </c>
    </row>
    <row r="274" spans="16:29" x14ac:dyDescent="0.2">
      <c r="P274" s="5"/>
      <c r="AC274" s="241" t="s">
        <v>496</v>
      </c>
    </row>
    <row r="275" spans="16:29" x14ac:dyDescent="0.2">
      <c r="P275" s="5"/>
      <c r="AC275" s="241" t="s">
        <v>381</v>
      </c>
    </row>
    <row r="276" spans="16:29" x14ac:dyDescent="0.2">
      <c r="P276" s="5"/>
      <c r="AC276" s="241" t="s">
        <v>454</v>
      </c>
    </row>
    <row r="277" spans="16:29" x14ac:dyDescent="0.2">
      <c r="P277" s="5"/>
      <c r="AC277" s="241" t="s">
        <v>455</v>
      </c>
    </row>
    <row r="278" spans="16:29" x14ac:dyDescent="0.2">
      <c r="P278" s="5"/>
      <c r="AC278" s="241" t="s">
        <v>170</v>
      </c>
    </row>
    <row r="279" spans="16:29" x14ac:dyDescent="0.2">
      <c r="P279" s="5"/>
      <c r="AC279" s="241" t="s">
        <v>256</v>
      </c>
    </row>
    <row r="280" spans="16:29" x14ac:dyDescent="0.2">
      <c r="P280" s="5"/>
      <c r="AC280" s="241" t="s">
        <v>211</v>
      </c>
    </row>
    <row r="281" spans="16:29" x14ac:dyDescent="0.2">
      <c r="P281" s="5"/>
      <c r="AC281" s="241" t="s">
        <v>212</v>
      </c>
    </row>
    <row r="282" spans="16:29" x14ac:dyDescent="0.2">
      <c r="P282" s="5"/>
      <c r="AC282" s="241" t="s">
        <v>213</v>
      </c>
    </row>
    <row r="283" spans="16:29" x14ac:dyDescent="0.2">
      <c r="P283" s="5"/>
      <c r="AC283" s="241" t="s">
        <v>497</v>
      </c>
    </row>
    <row r="284" spans="16:29" x14ac:dyDescent="0.2">
      <c r="P284" s="5"/>
      <c r="AC284" s="241" t="s">
        <v>257</v>
      </c>
    </row>
    <row r="285" spans="16:29" x14ac:dyDescent="0.2">
      <c r="P285" s="5"/>
      <c r="AC285" s="241" t="s">
        <v>456</v>
      </c>
    </row>
    <row r="286" spans="16:29" x14ac:dyDescent="0.2">
      <c r="P286" s="5"/>
      <c r="AC286" s="241" t="s">
        <v>191</v>
      </c>
    </row>
    <row r="287" spans="16:29" x14ac:dyDescent="0.2">
      <c r="P287" s="5"/>
      <c r="AC287" s="241" t="s">
        <v>330</v>
      </c>
    </row>
    <row r="288" spans="16:29" x14ac:dyDescent="0.2">
      <c r="P288" s="5"/>
      <c r="AC288" s="241" t="s">
        <v>331</v>
      </c>
    </row>
    <row r="289" spans="16:29" x14ac:dyDescent="0.2">
      <c r="P289" s="5"/>
      <c r="AC289" s="241" t="s">
        <v>192</v>
      </c>
    </row>
    <row r="290" spans="16:29" x14ac:dyDescent="0.2">
      <c r="P290" s="5"/>
      <c r="AC290" s="241" t="s">
        <v>457</v>
      </c>
    </row>
    <row r="291" spans="16:29" x14ac:dyDescent="0.2">
      <c r="P291" s="5"/>
      <c r="AC291" s="241" t="s">
        <v>382</v>
      </c>
    </row>
    <row r="292" spans="16:29" x14ac:dyDescent="0.2">
      <c r="P292" s="5"/>
      <c r="AC292" s="241" t="s">
        <v>258</v>
      </c>
    </row>
    <row r="293" spans="16:29" x14ac:dyDescent="0.2">
      <c r="P293" s="5"/>
      <c r="AC293" s="241" t="s">
        <v>332</v>
      </c>
    </row>
    <row r="294" spans="16:29" x14ac:dyDescent="0.2">
      <c r="P294" s="5"/>
      <c r="AC294" s="241" t="s">
        <v>288</v>
      </c>
    </row>
    <row r="295" spans="16:29" x14ac:dyDescent="0.2">
      <c r="P295" s="5"/>
      <c r="AC295" s="241" t="s">
        <v>259</v>
      </c>
    </row>
    <row r="296" spans="16:29" x14ac:dyDescent="0.2">
      <c r="P296" s="5"/>
      <c r="AC296" s="241" t="s">
        <v>383</v>
      </c>
    </row>
    <row r="297" spans="16:29" x14ac:dyDescent="0.2">
      <c r="P297" s="5"/>
      <c r="AC297" s="241" t="s">
        <v>498</v>
      </c>
    </row>
    <row r="298" spans="16:29" x14ac:dyDescent="0.2">
      <c r="P298" s="5"/>
      <c r="AC298" s="241" t="s">
        <v>171</v>
      </c>
    </row>
    <row r="299" spans="16:29" x14ac:dyDescent="0.2">
      <c r="P299" s="5"/>
      <c r="AC299" s="241" t="s">
        <v>384</v>
      </c>
    </row>
    <row r="300" spans="16:29" x14ac:dyDescent="0.2">
      <c r="P300" s="5"/>
      <c r="AC300" s="241" t="s">
        <v>333</v>
      </c>
    </row>
    <row r="301" spans="16:29" x14ac:dyDescent="0.2">
      <c r="P301" s="5"/>
      <c r="AC301" s="241" t="s">
        <v>260</v>
      </c>
    </row>
    <row r="302" spans="16:29" x14ac:dyDescent="0.2">
      <c r="P302" s="5"/>
      <c r="AC302" s="241" t="s">
        <v>214</v>
      </c>
    </row>
    <row r="303" spans="16:29" x14ac:dyDescent="0.2">
      <c r="P303" s="5"/>
      <c r="AC303" s="241" t="s">
        <v>409</v>
      </c>
    </row>
    <row r="304" spans="16:29" x14ac:dyDescent="0.2">
      <c r="P304" s="5"/>
      <c r="AC304" s="241" t="s">
        <v>261</v>
      </c>
    </row>
    <row r="305" spans="16:29" x14ac:dyDescent="0.2">
      <c r="P305" s="5"/>
      <c r="AC305" s="241" t="s">
        <v>289</v>
      </c>
    </row>
    <row r="306" spans="16:29" x14ac:dyDescent="0.2">
      <c r="P306" s="5"/>
      <c r="AC306" s="241" t="s">
        <v>458</v>
      </c>
    </row>
    <row r="307" spans="16:29" x14ac:dyDescent="0.2">
      <c r="P307" s="5"/>
      <c r="AC307" s="241" t="s">
        <v>262</v>
      </c>
    </row>
    <row r="308" spans="16:29" x14ac:dyDescent="0.2">
      <c r="P308" s="5"/>
      <c r="AC308" s="241" t="s">
        <v>290</v>
      </c>
    </row>
    <row r="309" spans="16:29" x14ac:dyDescent="0.2">
      <c r="P309" s="5"/>
      <c r="AC309" s="241" t="s">
        <v>385</v>
      </c>
    </row>
    <row r="310" spans="16:29" x14ac:dyDescent="0.2">
      <c r="P310" s="5"/>
      <c r="AC310" s="241" t="s">
        <v>215</v>
      </c>
    </row>
    <row r="311" spans="16:29" x14ac:dyDescent="0.2">
      <c r="P311" s="5"/>
      <c r="AC311" s="241" t="s">
        <v>386</v>
      </c>
    </row>
    <row r="312" spans="16:29" x14ac:dyDescent="0.2">
      <c r="P312" s="5"/>
      <c r="AC312" s="241" t="s">
        <v>499</v>
      </c>
    </row>
    <row r="313" spans="16:29" x14ac:dyDescent="0.2">
      <c r="P313" s="5"/>
      <c r="AC313" s="241" t="s">
        <v>500</v>
      </c>
    </row>
    <row r="314" spans="16:29" x14ac:dyDescent="0.2">
      <c r="P314" s="5"/>
      <c r="AC314" s="241" t="s">
        <v>459</v>
      </c>
    </row>
    <row r="315" spans="16:29" x14ac:dyDescent="0.2">
      <c r="P315" s="5"/>
      <c r="AC315" s="241" t="s">
        <v>387</v>
      </c>
    </row>
    <row r="316" spans="16:29" x14ac:dyDescent="0.2">
      <c r="P316" s="5"/>
      <c r="AC316" s="241" t="s">
        <v>264</v>
      </c>
    </row>
    <row r="317" spans="16:29" x14ac:dyDescent="0.2">
      <c r="P317" s="5"/>
      <c r="AC317" s="241" t="s">
        <v>460</v>
      </c>
    </row>
    <row r="318" spans="16:29" x14ac:dyDescent="0.2">
      <c r="P318" s="5"/>
      <c r="AC318" s="241" t="s">
        <v>334</v>
      </c>
    </row>
    <row r="319" spans="16:29" x14ac:dyDescent="0.2">
      <c r="P319" s="5"/>
      <c r="AC319" s="241" t="s">
        <v>265</v>
      </c>
    </row>
    <row r="320" spans="16:29" x14ac:dyDescent="0.2">
      <c r="P320" s="5"/>
      <c r="AC320" s="241" t="s">
        <v>388</v>
      </c>
    </row>
    <row r="321" spans="16:29" x14ac:dyDescent="0.2">
      <c r="P321" s="5"/>
      <c r="AC321" s="241" t="s">
        <v>193</v>
      </c>
    </row>
    <row r="322" spans="16:29" x14ac:dyDescent="0.2">
      <c r="P322" s="5"/>
      <c r="AC322" s="241" t="s">
        <v>501</v>
      </c>
    </row>
    <row r="323" spans="16:29" x14ac:dyDescent="0.2">
      <c r="P323" s="5"/>
      <c r="AC323" s="241" t="s">
        <v>410</v>
      </c>
    </row>
    <row r="324" spans="16:29" x14ac:dyDescent="0.2">
      <c r="P324" s="5"/>
      <c r="AC324" s="241" t="s">
        <v>528</v>
      </c>
    </row>
    <row r="325" spans="16:29" x14ac:dyDescent="0.2">
      <c r="P325" s="5"/>
      <c r="AC325" s="241" t="s">
        <v>569</v>
      </c>
    </row>
    <row r="326" spans="16:29" x14ac:dyDescent="0.2">
      <c r="P326" s="5"/>
      <c r="AC326" s="241" t="s">
        <v>502</v>
      </c>
    </row>
    <row r="327" spans="16:29" x14ac:dyDescent="0.2">
      <c r="P327" s="5"/>
      <c r="AC327" s="241" t="s">
        <v>524</v>
      </c>
    </row>
    <row r="328" spans="16:29" x14ac:dyDescent="0.2">
      <c r="P328" s="5"/>
      <c r="AC328" s="241" t="s">
        <v>462</v>
      </c>
    </row>
    <row r="329" spans="16:29" x14ac:dyDescent="0.2">
      <c r="P329" s="5"/>
      <c r="AC329" s="241" t="s">
        <v>503</v>
      </c>
    </row>
    <row r="330" spans="16:29" x14ac:dyDescent="0.2">
      <c r="P330" s="5"/>
      <c r="AC330" s="241" t="s">
        <v>389</v>
      </c>
    </row>
    <row r="331" spans="16:29" x14ac:dyDescent="0.2">
      <c r="P331" s="5"/>
      <c r="AC331" s="241" t="s">
        <v>411</v>
      </c>
    </row>
    <row r="332" spans="16:29" x14ac:dyDescent="0.2">
      <c r="P332" s="5"/>
      <c r="AC332" s="241" t="s">
        <v>194</v>
      </c>
    </row>
    <row r="333" spans="16:29" x14ac:dyDescent="0.2">
      <c r="P333" s="5"/>
      <c r="AC333" s="241" t="s">
        <v>291</v>
      </c>
    </row>
    <row r="334" spans="16:29" x14ac:dyDescent="0.2">
      <c r="P334" s="5"/>
      <c r="AC334" s="241" t="s">
        <v>464</v>
      </c>
    </row>
    <row r="335" spans="16:29" x14ac:dyDescent="0.2">
      <c r="P335" s="5"/>
      <c r="AC335" s="241" t="s">
        <v>465</v>
      </c>
    </row>
    <row r="336" spans="16:29" x14ac:dyDescent="0.2">
      <c r="P336" s="5"/>
      <c r="AC336" s="241" t="s">
        <v>173</v>
      </c>
    </row>
    <row r="337" spans="16:29" x14ac:dyDescent="0.2">
      <c r="P337" s="5"/>
      <c r="AC337" s="241" t="s">
        <v>216</v>
      </c>
    </row>
    <row r="338" spans="16:29" x14ac:dyDescent="0.2">
      <c r="P338" s="5"/>
      <c r="AC338" s="241" t="s">
        <v>335</v>
      </c>
    </row>
    <row r="339" spans="16:29" x14ac:dyDescent="0.2">
      <c r="P339" s="5"/>
      <c r="AC339" s="241" t="s">
        <v>466</v>
      </c>
    </row>
    <row r="340" spans="16:29" x14ac:dyDescent="0.2">
      <c r="P340" s="5"/>
      <c r="AC340" s="241" t="s">
        <v>217</v>
      </c>
    </row>
    <row r="341" spans="16:29" x14ac:dyDescent="0.2">
      <c r="P341" s="5"/>
      <c r="AC341" s="241" t="s">
        <v>504</v>
      </c>
    </row>
    <row r="342" spans="16:29" x14ac:dyDescent="0.2">
      <c r="P342" s="5"/>
      <c r="AC342" s="241" t="s">
        <v>292</v>
      </c>
    </row>
    <row r="343" spans="16:29" x14ac:dyDescent="0.2">
      <c r="P343" s="5"/>
      <c r="AC343" s="241" t="s">
        <v>390</v>
      </c>
    </row>
    <row r="344" spans="16:29" x14ac:dyDescent="0.2">
      <c r="P344" s="5"/>
      <c r="AC344" s="241" t="s">
        <v>525</v>
      </c>
    </row>
    <row r="345" spans="16:29" x14ac:dyDescent="0.2">
      <c r="P345" s="5"/>
      <c r="AC345" s="241" t="s">
        <v>174</v>
      </c>
    </row>
    <row r="346" spans="16:29" x14ac:dyDescent="0.2">
      <c r="P346" s="5"/>
      <c r="AC346" s="241" t="s">
        <v>412</v>
      </c>
    </row>
    <row r="347" spans="16:29" x14ac:dyDescent="0.2">
      <c r="P347" s="5"/>
      <c r="AC347" s="241" t="s">
        <v>195</v>
      </c>
    </row>
    <row r="348" spans="16:29" x14ac:dyDescent="0.2">
      <c r="P348" s="5"/>
      <c r="AC348" s="241" t="s">
        <v>336</v>
      </c>
    </row>
    <row r="349" spans="16:29" x14ac:dyDescent="0.2">
      <c r="P349" s="5"/>
      <c r="AC349" s="241" t="s">
        <v>391</v>
      </c>
    </row>
    <row r="350" spans="16:29" x14ac:dyDescent="0.2">
      <c r="P350" s="5"/>
      <c r="AC350" s="241" t="s">
        <v>413</v>
      </c>
    </row>
    <row r="351" spans="16:29" x14ac:dyDescent="0.2">
      <c r="P351" s="5"/>
      <c r="AC351" s="241" t="s">
        <v>266</v>
      </c>
    </row>
    <row r="352" spans="16:29" x14ac:dyDescent="0.2">
      <c r="P352" s="5"/>
      <c r="AC352" s="241" t="s">
        <v>467</v>
      </c>
    </row>
    <row r="353" spans="16:29" x14ac:dyDescent="0.2">
      <c r="P353" s="5"/>
      <c r="AC353" s="241" t="s">
        <v>218</v>
      </c>
    </row>
    <row r="354" spans="16:29" x14ac:dyDescent="0.2">
      <c r="P354" s="5"/>
      <c r="AC354" s="241" t="s">
        <v>219</v>
      </c>
    </row>
    <row r="355" spans="16:29" x14ac:dyDescent="0.2">
      <c r="P355" s="5"/>
      <c r="AC355" s="241" t="s">
        <v>152</v>
      </c>
    </row>
    <row r="356" spans="16:29" x14ac:dyDescent="0.2">
      <c r="P356" s="5"/>
      <c r="AC356" s="241" t="s">
        <v>196</v>
      </c>
    </row>
    <row r="357" spans="16:29" x14ac:dyDescent="0.2">
      <c r="P357" s="5"/>
      <c r="AC357" s="241" t="s">
        <v>468</v>
      </c>
    </row>
    <row r="358" spans="16:29" x14ac:dyDescent="0.2">
      <c r="P358" s="5"/>
      <c r="AC358" s="241" t="s">
        <v>337</v>
      </c>
    </row>
    <row r="359" spans="16:29" x14ac:dyDescent="0.2">
      <c r="P359" s="5"/>
      <c r="AC359" s="241" t="s">
        <v>338</v>
      </c>
    </row>
    <row r="360" spans="16:29" x14ac:dyDescent="0.2">
      <c r="P360" s="5"/>
      <c r="AC360" s="241" t="s">
        <v>515</v>
      </c>
    </row>
    <row r="361" spans="16:29" x14ac:dyDescent="0.2">
      <c r="P361" s="5"/>
      <c r="AC361" s="241" t="s">
        <v>293</v>
      </c>
    </row>
    <row r="362" spans="16:29" x14ac:dyDescent="0.2">
      <c r="P362" s="5"/>
      <c r="AC362" s="241" t="s">
        <v>294</v>
      </c>
    </row>
    <row r="363" spans="16:29" x14ac:dyDescent="0.2">
      <c r="P363" s="5"/>
      <c r="AC363" s="241" t="s">
        <v>505</v>
      </c>
    </row>
    <row r="364" spans="16:29" x14ac:dyDescent="0.2">
      <c r="P364" s="5"/>
      <c r="AC364" s="241" t="s">
        <v>506</v>
      </c>
    </row>
    <row r="365" spans="16:29" x14ac:dyDescent="0.2">
      <c r="P365" s="5"/>
      <c r="AC365" s="241" t="s">
        <v>469</v>
      </c>
    </row>
    <row r="366" spans="16:29" x14ac:dyDescent="0.2">
      <c r="P366" s="5"/>
      <c r="AC366" s="241" t="s">
        <v>175</v>
      </c>
    </row>
    <row r="367" spans="16:29" x14ac:dyDescent="0.2">
      <c r="P367" s="5"/>
      <c r="AC367" s="241" t="s">
        <v>295</v>
      </c>
    </row>
    <row r="368" spans="16:29" x14ac:dyDescent="0.2">
      <c r="P368" s="5"/>
      <c r="AC368" s="241" t="s">
        <v>414</v>
      </c>
    </row>
    <row r="369" spans="16:29" x14ac:dyDescent="0.2">
      <c r="P369" s="5"/>
      <c r="AC369" s="241" t="s">
        <v>471</v>
      </c>
    </row>
    <row r="370" spans="16:29" x14ac:dyDescent="0.2">
      <c r="P370" s="5"/>
      <c r="AC370" s="241" t="s">
        <v>339</v>
      </c>
    </row>
    <row r="371" spans="16:29" x14ac:dyDescent="0.2">
      <c r="P371" s="5"/>
      <c r="AC371" s="241" t="s">
        <v>507</v>
      </c>
    </row>
    <row r="372" spans="16:29" x14ac:dyDescent="0.2">
      <c r="P372" s="5"/>
      <c r="AC372" s="241" t="s">
        <v>508</v>
      </c>
    </row>
    <row r="373" spans="16:29" x14ac:dyDescent="0.2">
      <c r="P373" s="5"/>
      <c r="AC373" s="241" t="s">
        <v>296</v>
      </c>
    </row>
    <row r="374" spans="16:29" x14ac:dyDescent="0.2">
      <c r="P374" s="5"/>
      <c r="AC374" s="241" t="s">
        <v>392</v>
      </c>
    </row>
    <row r="375" spans="16:29" x14ac:dyDescent="0.2">
      <c r="P375" s="5"/>
      <c r="AC375" s="241" t="s">
        <v>197</v>
      </c>
    </row>
    <row r="376" spans="16:29" x14ac:dyDescent="0.2">
      <c r="P376" s="5"/>
      <c r="AC376" s="241" t="s">
        <v>415</v>
      </c>
    </row>
    <row r="377" spans="16:29" x14ac:dyDescent="0.2">
      <c r="P377" s="5"/>
      <c r="AC377" s="241" t="s">
        <v>509</v>
      </c>
    </row>
    <row r="378" spans="16:29" x14ac:dyDescent="0.2">
      <c r="P378" s="5"/>
      <c r="AC378" s="241" t="s">
        <v>393</v>
      </c>
    </row>
    <row r="379" spans="16:29" x14ac:dyDescent="0.2">
      <c r="P379" s="5"/>
      <c r="AC379" s="241" t="s">
        <v>267</v>
      </c>
    </row>
    <row r="380" spans="16:29" x14ac:dyDescent="0.2">
      <c r="P380" s="5"/>
      <c r="AC380" s="241" t="s">
        <v>472</v>
      </c>
    </row>
    <row r="381" spans="16:29" x14ac:dyDescent="0.2">
      <c r="P381" s="5"/>
      <c r="AC381" s="241" t="s">
        <v>820</v>
      </c>
    </row>
    <row r="382" spans="16:29" x14ac:dyDescent="0.2">
      <c r="P382" s="5"/>
      <c r="AC382" s="241" t="s">
        <v>473</v>
      </c>
    </row>
    <row r="383" spans="16:29" x14ac:dyDescent="0.2">
      <c r="P383" s="5"/>
      <c r="AC383" s="241" t="s">
        <v>474</v>
      </c>
    </row>
    <row r="384" spans="16:29" x14ac:dyDescent="0.2">
      <c r="P384" s="5"/>
      <c r="AC384" s="241" t="s">
        <v>394</v>
      </c>
    </row>
    <row r="385" spans="16:29" x14ac:dyDescent="0.2">
      <c r="P385" s="5"/>
      <c r="AC385" s="241" t="s">
        <v>268</v>
      </c>
    </row>
    <row r="386" spans="16:29" x14ac:dyDescent="0.2">
      <c r="P386" s="5"/>
      <c r="AC386" s="241" t="s">
        <v>395</v>
      </c>
    </row>
    <row r="387" spans="16:29" x14ac:dyDescent="0.2">
      <c r="P387" s="5"/>
      <c r="AC387" s="241" t="s">
        <v>340</v>
      </c>
    </row>
    <row r="388" spans="16:29" x14ac:dyDescent="0.2">
      <c r="P388" s="5"/>
      <c r="AC388" s="241" t="s">
        <v>510</v>
      </c>
    </row>
    <row r="389" spans="16:29" x14ac:dyDescent="0.2">
      <c r="P389" s="5"/>
      <c r="AC389" s="241" t="s">
        <v>341</v>
      </c>
    </row>
    <row r="390" spans="16:29" x14ac:dyDescent="0.2">
      <c r="P390" s="5"/>
      <c r="AC390" s="241" t="s">
        <v>475</v>
      </c>
    </row>
    <row r="391" spans="16:29" x14ac:dyDescent="0.2">
      <c r="P391" s="5"/>
      <c r="AC391" s="241" t="s">
        <v>269</v>
      </c>
    </row>
    <row r="392" spans="16:29" x14ac:dyDescent="0.2">
      <c r="P392" s="5"/>
      <c r="AC392" s="241" t="s">
        <v>153</v>
      </c>
    </row>
    <row r="393" spans="16:29" x14ac:dyDescent="0.2">
      <c r="P393" s="5"/>
      <c r="AC393" s="241" t="s">
        <v>270</v>
      </c>
    </row>
    <row r="394" spans="16:29" x14ac:dyDescent="0.2">
      <c r="P394" s="5"/>
      <c r="AC394" s="241" t="s">
        <v>821</v>
      </c>
    </row>
    <row r="395" spans="16:29" x14ac:dyDescent="0.2">
      <c r="P395" s="5"/>
      <c r="AC395" s="241" t="s">
        <v>396</v>
      </c>
    </row>
    <row r="396" spans="16:29" x14ac:dyDescent="0.2">
      <c r="P396" s="5"/>
      <c r="AC396" s="241" t="s">
        <v>198</v>
      </c>
    </row>
    <row r="397" spans="16:29" x14ac:dyDescent="0.2">
      <c r="P397" s="5"/>
      <c r="AC397" s="241" t="s">
        <v>397</v>
      </c>
    </row>
    <row r="398" spans="16:29" x14ac:dyDescent="0.2">
      <c r="P398" s="5"/>
      <c r="AC398" s="241" t="s">
        <v>220</v>
      </c>
    </row>
    <row r="399" spans="16:29" x14ac:dyDescent="0.2">
      <c r="P399" s="5"/>
      <c r="AC399" s="241" t="s">
        <v>271</v>
      </c>
    </row>
    <row r="400" spans="16:29" x14ac:dyDescent="0.2">
      <c r="P400" s="5"/>
      <c r="AC400" s="241" t="s">
        <v>342</v>
      </c>
    </row>
    <row r="401" spans="16:29" x14ac:dyDescent="0.2">
      <c r="P401" s="5"/>
      <c r="AC401" s="241" t="s">
        <v>297</v>
      </c>
    </row>
    <row r="402" spans="16:29" x14ac:dyDescent="0.2">
      <c r="P402" s="5"/>
      <c r="AC402" s="241" t="s">
        <v>177</v>
      </c>
    </row>
    <row r="403" spans="16:29" x14ac:dyDescent="0.2">
      <c r="P403" s="5"/>
      <c r="AC403" s="241" t="s">
        <v>272</v>
      </c>
    </row>
    <row r="404" spans="16:29" x14ac:dyDescent="0.2">
      <c r="P404" s="5"/>
      <c r="AC404" s="241" t="s">
        <v>476</v>
      </c>
    </row>
    <row r="405" spans="16:29" x14ac:dyDescent="0.2">
      <c r="P405" s="5"/>
      <c r="AC405" s="241" t="s">
        <v>298</v>
      </c>
    </row>
    <row r="406" spans="16:29" x14ac:dyDescent="0.2">
      <c r="P406" s="5"/>
      <c r="AC406" s="241" t="s">
        <v>343</v>
      </c>
    </row>
    <row r="407" spans="16:29" x14ac:dyDescent="0.2">
      <c r="P407" s="5"/>
      <c r="AC407" s="241" t="s">
        <v>299</v>
      </c>
    </row>
    <row r="408" spans="16:29" x14ac:dyDescent="0.2">
      <c r="P408" s="5"/>
      <c r="AC408" s="241" t="s">
        <v>477</v>
      </c>
    </row>
    <row r="409" spans="16:29" x14ac:dyDescent="0.2">
      <c r="P409" s="5"/>
      <c r="AC409" s="241" t="s">
        <v>344</v>
      </c>
    </row>
    <row r="410" spans="16:29" x14ac:dyDescent="0.2">
      <c r="P410" s="5"/>
      <c r="AC410" s="241" t="s">
        <v>273</v>
      </c>
    </row>
    <row r="411" spans="16:29" x14ac:dyDescent="0.2">
      <c r="P411" s="5"/>
      <c r="AC411" s="241" t="s">
        <v>345</v>
      </c>
    </row>
    <row r="412" spans="16:29" x14ac:dyDescent="0.2">
      <c r="P412" s="5"/>
      <c r="AC412" s="241" t="s">
        <v>398</v>
      </c>
    </row>
    <row r="413" spans="16:29" x14ac:dyDescent="0.2">
      <c r="P413" s="5"/>
      <c r="AC413" s="241" t="s">
        <v>516</v>
      </c>
    </row>
    <row r="414" spans="16:29" x14ac:dyDescent="0.2">
      <c r="P414" s="5"/>
      <c r="AC414" s="241" t="s">
        <v>300</v>
      </c>
    </row>
    <row r="415" spans="16:29" x14ac:dyDescent="0.2">
      <c r="P415" s="5"/>
      <c r="AC415" s="241" t="s">
        <v>274</v>
      </c>
    </row>
    <row r="416" spans="16:29" x14ac:dyDescent="0.2">
      <c r="P416" s="5"/>
      <c r="AC416" s="241" t="s">
        <v>399</v>
      </c>
    </row>
    <row r="417" spans="16:29" x14ac:dyDescent="0.2">
      <c r="P417" s="5"/>
      <c r="AC417" s="241" t="s">
        <v>400</v>
      </c>
    </row>
    <row r="418" spans="16:29" x14ac:dyDescent="0.2">
      <c r="P418" s="5"/>
      <c r="AC418" s="241" t="s">
        <v>178</v>
      </c>
    </row>
    <row r="419" spans="16:29" x14ac:dyDescent="0.2">
      <c r="P419" s="5"/>
      <c r="AC419" s="241" t="s">
        <v>401</v>
      </c>
    </row>
    <row r="420" spans="16:29" x14ac:dyDescent="0.2">
      <c r="P420" s="5"/>
      <c r="AC420" s="241" t="s">
        <v>478</v>
      </c>
    </row>
    <row r="421" spans="16:29" x14ac:dyDescent="0.2">
      <c r="P421" s="5"/>
      <c r="AC421" s="241" t="s">
        <v>275</v>
      </c>
    </row>
    <row r="422" spans="16:29" x14ac:dyDescent="0.2">
      <c r="P422" s="5"/>
      <c r="AC422" s="241" t="s">
        <v>221</v>
      </c>
    </row>
    <row r="423" spans="16:29" x14ac:dyDescent="0.2">
      <c r="P423" s="5"/>
      <c r="AC423" s="241" t="s">
        <v>402</v>
      </c>
    </row>
    <row r="424" spans="16:29" x14ac:dyDescent="0.2">
      <c r="P424" s="5"/>
      <c r="AC424" s="241" t="s">
        <v>222</v>
      </c>
    </row>
    <row r="425" spans="16:29" x14ac:dyDescent="0.2">
      <c r="P425" s="5"/>
      <c r="AC425" s="241" t="s">
        <v>527</v>
      </c>
    </row>
    <row r="426" spans="16:29" x14ac:dyDescent="0.2">
      <c r="P426" s="5"/>
    </row>
    <row r="427" spans="16:29" x14ac:dyDescent="0.2">
      <c r="P427" s="5"/>
    </row>
    <row r="428" spans="16:29" x14ac:dyDescent="0.2">
      <c r="P428" s="5"/>
    </row>
    <row r="429" spans="16:29" x14ac:dyDescent="0.2">
      <c r="P429" s="5"/>
    </row>
    <row r="430" spans="16:29" x14ac:dyDescent="0.2">
      <c r="P430" s="5"/>
    </row>
    <row r="431" spans="16:29" x14ac:dyDescent="0.2">
      <c r="P431" s="5"/>
    </row>
    <row r="432" spans="16:29" x14ac:dyDescent="0.2">
      <c r="P432" s="5"/>
    </row>
    <row r="433" spans="16:16" x14ac:dyDescent="0.2">
      <c r="P433" s="5"/>
    </row>
    <row r="434" spans="16:16" x14ac:dyDescent="0.2">
      <c r="P434" s="5"/>
    </row>
    <row r="435" spans="16:16" x14ac:dyDescent="0.2">
      <c r="P435" s="5"/>
    </row>
    <row r="436" spans="16:16" x14ac:dyDescent="0.2">
      <c r="P436" s="5"/>
    </row>
    <row r="437" spans="16:16" x14ac:dyDescent="0.2">
      <c r="P437" s="5"/>
    </row>
    <row r="438" spans="16:16" x14ac:dyDescent="0.2">
      <c r="P438" s="5"/>
    </row>
    <row r="439" spans="16:16" x14ac:dyDescent="0.2">
      <c r="P439" s="5"/>
    </row>
    <row r="440" spans="16:16" x14ac:dyDescent="0.2">
      <c r="P440" s="5"/>
    </row>
    <row r="441" spans="16:16" x14ac:dyDescent="0.2">
      <c r="P441" s="5"/>
    </row>
    <row r="442" spans="16:16" x14ac:dyDescent="0.2">
      <c r="P442" s="5"/>
    </row>
    <row r="443" spans="16:16" x14ac:dyDescent="0.2">
      <c r="P443" s="5"/>
    </row>
    <row r="444" spans="16:16" x14ac:dyDescent="0.2">
      <c r="P444" s="5"/>
    </row>
    <row r="445" spans="16:16" x14ac:dyDescent="0.2">
      <c r="P445" s="5"/>
    </row>
    <row r="446" spans="16:16" x14ac:dyDescent="0.2">
      <c r="P446" s="5"/>
    </row>
    <row r="447" spans="16:16" x14ac:dyDescent="0.2">
      <c r="P447" s="5"/>
    </row>
  </sheetData>
  <sheetProtection algorithmName="SHA-512" hashValue="LJMs6BJWznJ1pXPocLi5hrK/9+OqdjzvB0MTECMKAMPM3xj67zhUXFe/nEYCgUItPvlcPjop21a/67iyCXaVog==" saltValue="1TzMgr850yvjA4vfAEChaA==" spinCount="100000" sheet="1" scenarios="1" selectLockedCells="1"/>
  <dataConsolidate/>
  <mergeCells count="3">
    <mergeCell ref="E2:F2"/>
    <mergeCell ref="A3:B3"/>
    <mergeCell ref="A1:B1"/>
  </mergeCells>
  <dataValidations count="10">
    <dataValidation type="list" allowBlank="1" showInputMessage="1" showErrorMessage="1" promptTitle="Scenario" prompt="Met het scrolmenu kunt u kiezen uit twee scenario's. Slechtweer is het vast ingestelde slechtweer-scenario. Op de stand handmatig kan zelf een scenario onder de kolom handmatig worden gedefinieerd." sqref="G2">
      <formula1>"Slechtweer,Handmatig"</formula1>
    </dataValidation>
    <dataValidation allowBlank="1" showInputMessage="1" showErrorMessage="1" promptTitle="Onbenutte belastingcapaciteit" prompt="Schatting op basis van ingevoerde tarieven en woz waarden CBS  " sqref="G15"/>
    <dataValidation allowBlank="1" showInputMessage="1" showErrorMessage="1" promptTitle="Bepalen houdbaarheidstekort" prompt="Als alles is ingevuld, bepaal dan hier het houdbaarheidstekort. Pas percentage aan zodat de netto schuldquote vanaf 2024 licht daalt.       " sqref="G17"/>
    <dataValidation allowBlank="1" showInputMessage="1" showErrorMessage="1" promptTitle="Investeringsvolume" prompt="Hier kan de gemiddelde investeringsruimte vanaf 2019 voor de scenario's Handmatig en Slechtweer worden aangepast. Bij een positief percentage wordt de investeringsruimte kleiner. Bij een negatief percentage groter. " sqref="I19"/>
    <dataValidation allowBlank="1" showErrorMessage="1" sqref="C18"/>
    <dataValidation allowBlank="1" showInputMessage="1" showErrorMessage="1" promptTitle="Rente liquide middelen" prompt="Voer hier het actuele percentage in van de rentevergoeding op banktegoeden en kortlopende uitzettingen." sqref="C14"/>
    <dataValidation allowBlank="1" showInputMessage="1" showErrorMessage="1" promptTitle="Rente kortlopende schuld" prompt="Vul hier het actuele percentage in van de rente op kortlopende schulden.  " sqref="C15"/>
    <dataValidation allowBlank="1" showErrorMessage="1" sqref="C19"/>
    <dataValidation allowBlank="1" showErrorMessage="1" sqref="C20"/>
    <dataValidation type="list" allowBlank="1" showInputMessage="1" showErrorMessage="1" promptTitle="Selecteer gemeentenaam" prompt="Selecteer met het scrolmenu de gemeentenaam " sqref="C2">
      <formula1>$AC$45:$AC$425</formula1>
    </dataValidation>
  </dataValidations>
  <pageMargins left="0.7" right="0.7" top="0.75" bottom="0.75" header="0.3" footer="0.3"/>
  <pageSetup paperSize="9" orientation="portrait" r:id="rId1"/>
  <ignoredErrors>
    <ignoredError sqref="X35" formula="1"/>
  </ignoredErrors>
  <drawing r:id="rId2"/>
  <extLst>
    <ext xmlns:x14="http://schemas.microsoft.com/office/spreadsheetml/2009/9/main" uri="{05C60535-1F16-4fd2-B633-F4F36F0B64E0}">
      <x14:sparklineGroups xmlns:xm="http://schemas.microsoft.com/office/excel/2006/main">
        <x14:sparklineGroup manualMax="0" manualMin="0" type="stacked" displayEmptyCellsAs="gap" negative="1">
          <x14:colorSeries rgb="FF00B050"/>
          <x14:colorNegative rgb="FFFF0000"/>
          <x14:colorAxis rgb="FF000000"/>
          <x14:colorMarkers rgb="FF0070C0"/>
          <x14:colorFirst rgb="FFFFC000"/>
          <x14:colorLast rgb="FFFFC000"/>
          <x14:colorHigh rgb="FF00B050"/>
          <x14:colorLow rgb="FFFF0000"/>
          <x14:sparklines>
            <x14:sparkline>
              <xm:f>Macrogegevens!Y39</xm:f>
              <xm:sqref>O40</xm:sqref>
            </x14:sparkline>
          </x14:sparklines>
        </x14:sparklineGroup>
        <x14:sparklineGroup manualMax="0" manualMin="0" type="stacked" displayEmptyCellsAs="gap" negative="1">
          <x14:colorSeries rgb="FF00B050"/>
          <x14:colorNegative rgb="FFFF0000"/>
          <x14:colorAxis rgb="FF000000"/>
          <x14:colorMarkers rgb="FF0070C0"/>
          <x14:colorFirst rgb="FFFFC000"/>
          <x14:colorLast rgb="FFFFC000"/>
          <x14:colorHigh rgb="FF00B050"/>
          <x14:colorLow rgb="FFFF0000"/>
          <x14:sparklines>
            <x14:sparkline>
              <xm:f>Macrogegevens!V34:X34</xm:f>
              <xm:sqref>O34</xm:sqref>
            </x14:sparkline>
          </x14:sparklines>
        </x14:sparklineGroup>
        <x14:sparklineGroup manualMax="0" manualMin="0" type="stacked" displayEmptyCellsAs="gap" negative="1">
          <x14:colorSeries rgb="FF00B050"/>
          <x14:colorNegative rgb="FFFF0000"/>
          <x14:colorAxis rgb="FF000000"/>
          <x14:colorMarkers rgb="FF0070C0"/>
          <x14:colorFirst rgb="FFFFC000"/>
          <x14:colorLast rgb="FFFFC000"/>
          <x14:colorHigh rgb="FF00B050"/>
          <x14:colorLow rgb="FFFF0000"/>
          <x14:sparklines>
            <x14:sparkline>
              <xm:f>Macrogegevens!V29:X29</xm:f>
              <xm:sqref>O29</xm:sqref>
            </x14:sparkline>
          </x14:sparklines>
        </x14:sparklineGroup>
        <x14:sparklineGroup manualMax="0" manualMin="0" type="stacked" displayEmptyCellsAs="gap" negative="1">
          <x14:colorSeries rgb="FF00B050"/>
          <x14:colorNegative rgb="FFFF0000"/>
          <x14:colorAxis rgb="FF000000"/>
          <x14:colorMarkers rgb="FF0070C0"/>
          <x14:colorFirst rgb="FFFFC000"/>
          <x14:colorLast rgb="FFFFC000"/>
          <x14:colorHigh rgb="FF00B050"/>
          <x14:colorLow rgb="FFFF0000"/>
          <x14:sparklines>
            <x14:sparkline>
              <xm:f>Macrogegevens!V26:X26</xm:f>
              <xm:sqref>O26</xm:sqref>
            </x14:sparkline>
          </x14:sparklines>
        </x14:sparklineGroup>
        <x14:sparklineGroup manualMax="0" manualMin="0" type="stacked" displayEmptyCellsAs="gap" negative="1">
          <x14:colorSeries rgb="FF00B050"/>
          <x14:colorNegative rgb="FFFF0000"/>
          <x14:colorAxis rgb="FF000000"/>
          <x14:colorMarkers rgb="FF0070C0"/>
          <x14:colorFirst rgb="FFFFC000"/>
          <x14:colorLast rgb="FFFFC000"/>
          <x14:colorHigh rgb="FF00B050"/>
          <x14:colorLow rgb="FFFF0000"/>
          <x14:sparklines>
            <x14:sparkline>
              <xm:f>Macrogegevens!V32:X32</xm:f>
              <xm:sqref>O32</xm:sqref>
            </x14:sparkline>
          </x14:sparklines>
        </x14:sparklineGroup>
        <x14:sparklineGroup manualMax="0" manualMin="0" type="stacked" displayEmptyCellsAs="gap" negative="1">
          <x14:colorSeries rgb="FF00B050"/>
          <x14:colorNegative rgb="FFFF0000"/>
          <x14:colorAxis rgb="FF000000"/>
          <x14:colorMarkers rgb="FF0070C0"/>
          <x14:colorFirst rgb="FFFFC000"/>
          <x14:colorLast rgb="FFFFC000"/>
          <x14:colorHigh rgb="FF00B050"/>
          <x14:colorLow rgb="FFFF0000"/>
          <x14:sparklines>
            <x14:sparkline>
              <xm:f>Macrogegevens!V28:X28</xm:f>
              <xm:sqref>O28</xm:sqref>
            </x14:sparkline>
          </x14:sparklines>
        </x14:sparklineGroup>
        <x14:sparklineGroup manualMax="0" manualMin="0" type="stacked" displayEmptyCellsAs="gap" negative="1">
          <x14:colorSeries rgb="FF00B050"/>
          <x14:colorNegative rgb="FFFF0000"/>
          <x14:colorAxis rgb="FF000000"/>
          <x14:colorMarkers rgb="FF0070C0"/>
          <x14:colorFirst rgb="FFFFC000"/>
          <x14:colorLast rgb="FFFFC000"/>
          <x14:colorHigh rgb="FF00B050"/>
          <x14:colorLow rgb="FFFF0000"/>
          <x14:sparklines>
            <x14:sparkline>
              <xm:f>Macrogegevens!X36:X36</xm:f>
              <xm:sqref>O36</xm:sqref>
            </x14:sparkline>
          </x14:sparklines>
        </x14:sparklineGroup>
        <x14:sparklineGroup manualMax="0" manualMin="0" type="stacked" displayEmptyCellsAs="gap" negative="1">
          <x14:colorSeries rgb="FF00B050"/>
          <x14:colorNegative rgb="FFFF0000"/>
          <x14:colorAxis rgb="FF000000"/>
          <x14:colorMarkers rgb="FF0070C0"/>
          <x14:colorFirst rgb="FFFFC000"/>
          <x14:colorLast rgb="FFFFC000"/>
          <x14:colorHigh rgb="FF00B050"/>
          <x14:colorLow rgb="FFFF0000"/>
          <x14:sparklines>
            <x14:sparkline>
              <xm:f>Macrogegevens!X38:X38</xm:f>
              <xm:sqref>O38</xm:sqref>
            </x14:sparkline>
          </x14:sparklines>
        </x14:sparklineGroup>
        <x14:sparklineGroup manualMax="0" manualMin="0" type="stacked" displayEmptyCellsAs="gap" negative="1">
          <x14:colorSeries rgb="FF00B050"/>
          <x14:colorNegative rgb="FFFF0000"/>
          <x14:colorAxis rgb="FF000000"/>
          <x14:colorMarkers rgb="FF0070C0"/>
          <x14:colorFirst rgb="FFFFC000"/>
          <x14:colorLast rgb="FFFFC000"/>
          <x14:colorHigh rgb="FF00B050"/>
          <x14:colorLow rgb="FFFF0000"/>
          <x14:sparklines>
            <x14:sparkline>
              <xm:f>Macrogegevens!X42:X42</xm:f>
              <xm:sqref>O42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topLeftCell="E1" zoomScaleNormal="100" workbookViewId="0">
      <selection activeCell="B6" sqref="B6"/>
    </sheetView>
  </sheetViews>
  <sheetFormatPr defaultColWidth="9.140625" defaultRowHeight="12.75" x14ac:dyDescent="0.2"/>
  <cols>
    <col min="1" max="1" width="53.7109375" style="16" bestFit="1" customWidth="1"/>
    <col min="2" max="2" width="21" style="16" customWidth="1"/>
    <col min="3" max="3" width="18.5703125" style="16" customWidth="1"/>
    <col min="4" max="4" width="9.140625" style="16"/>
    <col min="5" max="5" width="50.42578125" style="16" bestFit="1" customWidth="1"/>
    <col min="6" max="6" width="19" style="16" customWidth="1"/>
    <col min="7" max="7" width="20.5703125" style="16" customWidth="1"/>
    <col min="8" max="16384" width="9.140625" style="16"/>
  </cols>
  <sheetData>
    <row r="1" spans="1:7" x14ac:dyDescent="0.2">
      <c r="A1" s="48" t="s">
        <v>118</v>
      </c>
      <c r="B1" s="62">
        <f>Macrogegevens!C1</f>
        <v>2018</v>
      </c>
      <c r="C1" s="62"/>
      <c r="D1" s="62"/>
    </row>
    <row r="2" spans="1:7" x14ac:dyDescent="0.2">
      <c r="A2" s="48" t="s">
        <v>565</v>
      </c>
      <c r="B2" s="64" t="str">
        <f>Macrogegevens!C2</f>
        <v>Amstelveen</v>
      </c>
      <c r="C2" s="63"/>
      <c r="D2" s="63"/>
    </row>
    <row r="3" spans="1:7" x14ac:dyDescent="0.2">
      <c r="A3" s="48"/>
      <c r="B3" s="70" t="s">
        <v>130</v>
      </c>
      <c r="C3" s="66" t="s">
        <v>130</v>
      </c>
      <c r="D3" s="65"/>
      <c r="F3" s="70" t="s">
        <v>130</v>
      </c>
      <c r="G3" s="66" t="s">
        <v>130</v>
      </c>
    </row>
    <row r="4" spans="1:7" x14ac:dyDescent="0.2">
      <c r="A4" s="68" t="s">
        <v>124</v>
      </c>
      <c r="B4" s="71">
        <f>SUM(B1,-1)</f>
        <v>2017</v>
      </c>
      <c r="C4" s="67">
        <f>B1</f>
        <v>2018</v>
      </c>
      <c r="D4" s="61"/>
      <c r="E4" s="68" t="s">
        <v>125</v>
      </c>
      <c r="F4" s="71">
        <f>SUM(B1,-1)</f>
        <v>2017</v>
      </c>
      <c r="G4" s="67">
        <f>B1</f>
        <v>2018</v>
      </c>
    </row>
    <row r="5" spans="1:7" x14ac:dyDescent="0.2">
      <c r="A5" s="208" t="s">
        <v>656</v>
      </c>
      <c r="B5" s="72"/>
      <c r="C5" s="61"/>
      <c r="D5" s="61"/>
      <c r="E5" s="208" t="s">
        <v>659</v>
      </c>
      <c r="F5" s="73"/>
      <c r="G5" s="31"/>
    </row>
    <row r="6" spans="1:7" x14ac:dyDescent="0.2">
      <c r="A6" s="127" t="s">
        <v>655</v>
      </c>
      <c r="B6" s="169">
        <v>629000</v>
      </c>
      <c r="C6" s="293">
        <f>SUM(C9,-C8)</f>
        <v>212256995.55555555</v>
      </c>
      <c r="E6" s="127" t="s">
        <v>538</v>
      </c>
      <c r="F6" s="261">
        <f>SUM(F30,-F21,-F19,-F17,-F13,-F8)</f>
        <v>197361000</v>
      </c>
      <c r="G6" s="31">
        <f>SUM(G30,-G21,-G19,-G17,-G13,-G8)</f>
        <v>210873003.45868722</v>
      </c>
    </row>
    <row r="7" spans="1:7" x14ac:dyDescent="0.2">
      <c r="A7" s="127" t="s">
        <v>546</v>
      </c>
      <c r="B7" s="169">
        <v>200412000</v>
      </c>
      <c r="C7" s="293"/>
      <c r="F7" s="128"/>
      <c r="G7" s="129"/>
    </row>
    <row r="8" spans="1:7" x14ac:dyDescent="0.2">
      <c r="A8" s="127" t="s">
        <v>533</v>
      </c>
      <c r="B8" s="169">
        <v>1000000</v>
      </c>
      <c r="C8" s="172">
        <f>SUM($B$8,-'Investeringen &amp; financiering'!$D$6,-'Investeringen &amp; financiering'!$D$7)</f>
        <v>1000000</v>
      </c>
      <c r="E8" s="127" t="s">
        <v>534</v>
      </c>
      <c r="F8" s="169">
        <v>21076000</v>
      </c>
      <c r="G8" s="172">
        <f>SUM(F8,G37)</f>
        <v>21076000</v>
      </c>
    </row>
    <row r="9" spans="1:7" x14ac:dyDescent="0.2">
      <c r="A9" s="48" t="s">
        <v>547</v>
      </c>
      <c r="B9" s="82">
        <f>SUM(B6,B7,B8)</f>
        <v>202041000</v>
      </c>
      <c r="C9" s="75">
        <f>SUM(B9,-'Investeringen &amp; financiering'!C6,-'Investeringen &amp; financiering'!C7,-'Investeringen &amp; financiering'!D6,-'Investeringen &amp; financiering'!D7,-C35,-C36,C39)</f>
        <v>213256995.55555555</v>
      </c>
      <c r="E9" s="48" t="s">
        <v>537</v>
      </c>
      <c r="F9" s="77">
        <f>SUM(F6,F8)</f>
        <v>218437000</v>
      </c>
      <c r="G9" s="75">
        <f>SUM(G6,G8)</f>
        <v>231949003.45868722</v>
      </c>
    </row>
    <row r="10" spans="1:7" x14ac:dyDescent="0.2">
      <c r="A10" s="48"/>
      <c r="B10" s="207"/>
      <c r="C10" s="75"/>
      <c r="F10" s="72"/>
    </row>
    <row r="11" spans="1:7" x14ac:dyDescent="0.2">
      <c r="A11" s="48" t="s">
        <v>119</v>
      </c>
      <c r="B11" s="277">
        <v>7693000</v>
      </c>
      <c r="C11" s="75">
        <f>SUM(B11,-'Investeringen &amp; financiering'!G6,-'Investeringen &amp; financiering'!G7,C40)</f>
        <v>7693000</v>
      </c>
      <c r="E11" s="127" t="s">
        <v>536</v>
      </c>
      <c r="F11" s="169">
        <v>80125000</v>
      </c>
      <c r="G11" s="75"/>
    </row>
    <row r="12" spans="1:7" x14ac:dyDescent="0.2">
      <c r="A12" s="127"/>
      <c r="B12" s="207"/>
      <c r="C12" s="172"/>
      <c r="E12" s="127" t="s">
        <v>535</v>
      </c>
      <c r="F12" s="169">
        <v>70000</v>
      </c>
      <c r="G12" s="75"/>
    </row>
    <row r="13" spans="1:7" x14ac:dyDescent="0.2">
      <c r="A13" s="127" t="s">
        <v>120</v>
      </c>
      <c r="B13" s="169">
        <v>10000000</v>
      </c>
      <c r="C13" s="172">
        <f>SUM(B13,-'Investeringen &amp; financiering'!C54,C41)</f>
        <v>10000000</v>
      </c>
      <c r="E13" s="48" t="s">
        <v>540</v>
      </c>
      <c r="F13" s="82">
        <f>SUM(F11,F12)</f>
        <v>80195000</v>
      </c>
      <c r="G13" s="75">
        <f>SUM(F13,Macrogegevens!U4,-Macrogegevens!U5,F21,-G21,F19,-G19,F17,-G17,-B28,C28,-B26,C26,-B24,C24,-B17,C17)</f>
        <v>77898992.096868366</v>
      </c>
    </row>
    <row r="14" spans="1:7" x14ac:dyDescent="0.2">
      <c r="A14" s="127" t="s">
        <v>121</v>
      </c>
      <c r="B14" s="169">
        <v>5000000</v>
      </c>
      <c r="C14" s="172">
        <f>SUM(B14,-'Investeringen &amp; financiering'!D54,C42)</f>
        <v>5000000</v>
      </c>
      <c r="F14" s="72"/>
      <c r="G14" s="61"/>
    </row>
    <row r="15" spans="1:7" x14ac:dyDescent="0.2">
      <c r="A15" s="48" t="s">
        <v>122</v>
      </c>
      <c r="B15" s="82">
        <f>SUM($B$13,$B$14)</f>
        <v>15000000</v>
      </c>
      <c r="C15" s="75">
        <f>SUM(C13,C14)</f>
        <v>15000000</v>
      </c>
      <c r="F15" s="72"/>
      <c r="G15" s="61"/>
    </row>
    <row r="16" spans="1:7" x14ac:dyDescent="0.2">
      <c r="A16" s="48"/>
      <c r="B16" s="82"/>
      <c r="C16" s="75"/>
      <c r="E16" s="208" t="s">
        <v>658</v>
      </c>
      <c r="F16" s="72"/>
      <c r="G16" s="61"/>
    </row>
    <row r="17" spans="1:7" x14ac:dyDescent="0.2">
      <c r="A17" s="48" t="s">
        <v>122</v>
      </c>
      <c r="B17" s="277">
        <v>20000</v>
      </c>
      <c r="C17" s="75">
        <f>SUM(B17,-'Investeringen &amp; financiering'!E54,C43)</f>
        <v>20000</v>
      </c>
      <c r="E17" s="48" t="s">
        <v>916</v>
      </c>
      <c r="F17" s="277">
        <v>0</v>
      </c>
      <c r="G17" s="75">
        <f>SUM(F17,'Investeringen &amp; financiering'!K54)</f>
        <v>0</v>
      </c>
    </row>
    <row r="18" spans="1:7" x14ac:dyDescent="0.2">
      <c r="A18" s="48"/>
      <c r="B18" s="72"/>
      <c r="C18" s="75"/>
      <c r="E18" s="48"/>
      <c r="F18" s="72"/>
      <c r="G18" s="172"/>
    </row>
    <row r="19" spans="1:7" x14ac:dyDescent="0.2">
      <c r="A19" s="208" t="s">
        <v>657</v>
      </c>
      <c r="B19" s="72"/>
      <c r="E19" s="48" t="s">
        <v>35</v>
      </c>
      <c r="F19" s="277">
        <v>4283000</v>
      </c>
      <c r="G19" s="75">
        <f>SUM(F19,'Investeringen &amp; financiering'!L54)</f>
        <v>4283000</v>
      </c>
    </row>
    <row r="20" spans="1:7" x14ac:dyDescent="0.2">
      <c r="A20" s="127" t="s">
        <v>548</v>
      </c>
      <c r="B20" s="169">
        <v>0</v>
      </c>
      <c r="C20" s="172">
        <f>SUM(B20,C44,'Investeringen &amp; financiering'!D7,-'Investeringen &amp; financiering'!E6,-C45)</f>
        <v>0</v>
      </c>
      <c r="E20" s="48"/>
      <c r="F20" s="82"/>
      <c r="G20" s="75"/>
    </row>
    <row r="21" spans="1:7" x14ac:dyDescent="0.2">
      <c r="A21" s="127" t="s">
        <v>28</v>
      </c>
      <c r="B21" s="169">
        <v>348000</v>
      </c>
      <c r="C21" s="172">
        <f>SUM(B21,-'Investeringen &amp; financiering'!F6,-'Investeringen &amp; financiering'!F7)</f>
        <v>348000</v>
      </c>
      <c r="E21" s="48" t="s">
        <v>30</v>
      </c>
      <c r="F21" s="277">
        <v>25170000</v>
      </c>
      <c r="G21" s="126">
        <f>SUM(F21,'Investeringen &amp; financiering'!M54)</f>
        <v>25170000</v>
      </c>
    </row>
    <row r="22" spans="1:7" x14ac:dyDescent="0.2">
      <c r="A22" s="48" t="s">
        <v>539</v>
      </c>
      <c r="B22" s="82">
        <f>SUM(B20,B21)</f>
        <v>348000</v>
      </c>
      <c r="C22" s="75">
        <f>SUM(C20,C21)</f>
        <v>348000</v>
      </c>
      <c r="F22" s="72"/>
      <c r="G22" s="61"/>
    </row>
    <row r="23" spans="1:7" x14ac:dyDescent="0.2">
      <c r="B23" s="73"/>
      <c r="F23" s="82"/>
      <c r="G23" s="75"/>
    </row>
    <row r="24" spans="1:7" x14ac:dyDescent="0.2">
      <c r="A24" s="48" t="s">
        <v>743</v>
      </c>
      <c r="B24" s="277">
        <v>5947000</v>
      </c>
      <c r="C24" s="75">
        <f>SUM(B24,-'Investeringen &amp; financiering'!F54)</f>
        <v>5947000</v>
      </c>
      <c r="F24" s="82"/>
      <c r="G24" s="75"/>
    </row>
    <row r="25" spans="1:7" x14ac:dyDescent="0.2">
      <c r="B25" s="73"/>
      <c r="F25" s="82"/>
      <c r="G25" s="75"/>
    </row>
    <row r="26" spans="1:7" x14ac:dyDescent="0.2">
      <c r="A26" s="48" t="s">
        <v>744</v>
      </c>
      <c r="B26" s="277">
        <v>83187000</v>
      </c>
      <c r="C26" s="156">
        <f>SUM(B26,-'Investeringen &amp; financiering'!G54)</f>
        <v>83187000</v>
      </c>
      <c r="F26" s="82"/>
      <c r="G26" s="75"/>
    </row>
    <row r="27" spans="1:7" x14ac:dyDescent="0.2">
      <c r="B27" s="73"/>
      <c r="F27" s="72"/>
      <c r="G27" s="61"/>
    </row>
    <row r="28" spans="1:7" x14ac:dyDescent="0.2">
      <c r="A28" s="68" t="s">
        <v>29</v>
      </c>
      <c r="B28" s="278">
        <v>13849000</v>
      </c>
      <c r="C28" s="76">
        <f>SUM(B28,-'Investeringen &amp; financiering'!H54)</f>
        <v>13849000</v>
      </c>
      <c r="E28" s="69"/>
      <c r="F28" s="130"/>
      <c r="G28" s="157"/>
    </row>
    <row r="29" spans="1:7" x14ac:dyDescent="0.2">
      <c r="B29" s="73"/>
      <c r="E29" s="49"/>
      <c r="F29" s="72"/>
    </row>
    <row r="30" spans="1:7" x14ac:dyDescent="0.2">
      <c r="A30" s="48" t="s">
        <v>123</v>
      </c>
      <c r="B30" s="77">
        <f>SUM(B9,B11,B15,B17,B22,B24,B26,B28)</f>
        <v>328085000</v>
      </c>
      <c r="C30" s="75">
        <f>SUM(C9,C11,C15,C17,C22,C24,C26,C28)</f>
        <v>339300995.55555558</v>
      </c>
      <c r="E30" s="48" t="s">
        <v>123</v>
      </c>
      <c r="F30" s="77">
        <f>B30</f>
        <v>328085000</v>
      </c>
      <c r="G30" s="75">
        <f>C30</f>
        <v>339300995.55555558</v>
      </c>
    </row>
    <row r="31" spans="1:7" x14ac:dyDescent="0.2">
      <c r="B31" s="73"/>
      <c r="F31" s="49"/>
    </row>
    <row r="32" spans="1:7" x14ac:dyDescent="0.2">
      <c r="F32" s="49"/>
    </row>
    <row r="33" spans="1:7" x14ac:dyDescent="0.2">
      <c r="F33" s="49"/>
    </row>
    <row r="34" spans="1:7" x14ac:dyDescent="0.2">
      <c r="A34" s="48" t="s">
        <v>23</v>
      </c>
      <c r="C34" s="68" t="s">
        <v>786</v>
      </c>
      <c r="E34" s="48" t="s">
        <v>23</v>
      </c>
      <c r="F34" s="130" t="s">
        <v>866</v>
      </c>
      <c r="G34" s="237" t="s">
        <v>867</v>
      </c>
    </row>
    <row r="35" spans="1:7" x14ac:dyDescent="0.2">
      <c r="A35" s="16" t="s">
        <v>864</v>
      </c>
      <c r="C35" s="131">
        <v>0</v>
      </c>
      <c r="E35" s="16" t="s">
        <v>589</v>
      </c>
      <c r="F35" s="167">
        <f>VLOOKUP(Macrogegevens!$C$2,'Inkomsten 2018'!$B$2:$AK$390,33,0)</f>
        <v>231137000</v>
      </c>
      <c r="G35" s="265">
        <f>VLOOKUP(Macrogegevens!$C$2,'Inkomsten 2018'!$B$2:$AK$390,33,0)</f>
        <v>231137000</v>
      </c>
    </row>
    <row r="36" spans="1:7" x14ac:dyDescent="0.2">
      <c r="A36" s="16" t="s">
        <v>865</v>
      </c>
      <c r="C36" s="131">
        <f>Macrogegevens!Y5*144</f>
        <v>13077760</v>
      </c>
      <c r="E36" s="16" t="s">
        <v>590</v>
      </c>
      <c r="F36" s="173">
        <f>VLOOKUP(Macrogegevens!$C$2,'Inkomsten 2018'!$B$2:$AK$390,34,0)</f>
        <v>217625000</v>
      </c>
      <c r="G36" s="238">
        <f>VLOOKUP(Macrogegevens!$C$2,'Inkomsten 2018'!$B$2:$AK$390,34,0)</f>
        <v>217625000</v>
      </c>
    </row>
    <row r="37" spans="1:7" x14ac:dyDescent="0.2">
      <c r="E37" s="16" t="s">
        <v>542</v>
      </c>
      <c r="F37" s="132"/>
      <c r="G37" s="173">
        <v>0</v>
      </c>
    </row>
    <row r="38" spans="1:7" x14ac:dyDescent="0.2">
      <c r="C38" s="144"/>
      <c r="E38" s="16" t="s">
        <v>96</v>
      </c>
      <c r="F38" s="187">
        <f>F6/F30</f>
        <v>0.60155447521221639</v>
      </c>
      <c r="G38" s="20">
        <f>G6/G30</f>
        <v>0.62149243951793787</v>
      </c>
    </row>
    <row r="39" spans="1:7" x14ac:dyDescent="0.2">
      <c r="A39" s="165" t="s">
        <v>572</v>
      </c>
      <c r="B39" s="166"/>
      <c r="C39" s="167">
        <v>0</v>
      </c>
      <c r="E39" s="16" t="s">
        <v>101</v>
      </c>
      <c r="F39" s="187">
        <f>SUM(F11,F12,F17,F19,F21)/F30</f>
        <v>0.33420607464529012</v>
      </c>
      <c r="G39" s="20">
        <f>SUM(G13,G17,G19,G21)/G30</f>
        <v>0.31639162131279702</v>
      </c>
    </row>
    <row r="40" spans="1:7" x14ac:dyDescent="0.2">
      <c r="A40" s="168" t="s">
        <v>556</v>
      </c>
      <c r="B40" s="49"/>
      <c r="C40" s="169">
        <v>0</v>
      </c>
      <c r="E40" s="16" t="s">
        <v>571</v>
      </c>
      <c r="F40" s="161">
        <f>SUM(B24,B26,B28)/SUM(F17,F19,F21)</f>
        <v>3.4965198791294605</v>
      </c>
      <c r="G40" s="162">
        <f>SUM(C24,C26,C28)/SUM(G17,G19,G21)</f>
        <v>3.4965198791294605</v>
      </c>
    </row>
    <row r="41" spans="1:7" x14ac:dyDescent="0.2">
      <c r="A41" s="168" t="s">
        <v>136</v>
      </c>
      <c r="B41" s="49"/>
      <c r="C41" s="169">
        <v>0</v>
      </c>
      <c r="E41" s="16" t="s">
        <v>776</v>
      </c>
      <c r="F41" s="187">
        <f>F17/F35</f>
        <v>0</v>
      </c>
      <c r="G41" s="20">
        <f>G17/G35</f>
        <v>0</v>
      </c>
    </row>
    <row r="42" spans="1:7" x14ac:dyDescent="0.2">
      <c r="A42" s="168" t="s">
        <v>137</v>
      </c>
      <c r="B42" s="49"/>
      <c r="C42" s="169">
        <v>0</v>
      </c>
      <c r="E42" s="16" t="s">
        <v>578</v>
      </c>
      <c r="F42" s="187">
        <f>SUM(F13,F17,F19,F21,-B15,-B17,-B24,-B26,-B28)/F35</f>
        <v>-3.6147393104522425E-2</v>
      </c>
      <c r="G42" s="20">
        <f>SUM(G13,G17,G19,G21,-C15,-C17,-C24,-C26,-C28)/G35</f>
        <v>-4.6080929938225532E-2</v>
      </c>
    </row>
    <row r="43" spans="1:7" x14ac:dyDescent="0.2">
      <c r="A43" s="168" t="s">
        <v>566</v>
      </c>
      <c r="B43" s="49"/>
      <c r="C43" s="169">
        <v>0</v>
      </c>
      <c r="E43" s="16" t="s">
        <v>95</v>
      </c>
      <c r="F43" s="187">
        <f>B15/F35</f>
        <v>6.4896576489268276E-2</v>
      </c>
      <c r="G43" s="20">
        <f>C15/G35</f>
        <v>6.4896576489268276E-2</v>
      </c>
    </row>
    <row r="44" spans="1:7" x14ac:dyDescent="0.2">
      <c r="A44" s="168" t="s">
        <v>660</v>
      </c>
      <c r="B44" s="49"/>
      <c r="C44" s="169">
        <v>0</v>
      </c>
      <c r="E44" s="16" t="s">
        <v>921</v>
      </c>
      <c r="F44" s="187">
        <f>SUM(B8,B22)/F35</f>
        <v>5.8320390071689085E-3</v>
      </c>
      <c r="G44" s="188">
        <f>SUM(C8,C22)/G35</f>
        <v>5.8320390071689085E-3</v>
      </c>
    </row>
    <row r="45" spans="1:7" x14ac:dyDescent="0.2">
      <c r="A45" s="170" t="s">
        <v>602</v>
      </c>
      <c r="B45" s="69"/>
      <c r="C45" s="283">
        <v>0</v>
      </c>
      <c r="E45" s="16" t="s">
        <v>777</v>
      </c>
      <c r="F45" s="187">
        <f>SUM(F42,0.12*F43,-0.67*F44)</f>
        <v>-3.2267270060613404E-2</v>
      </c>
      <c r="G45" s="251">
        <f>SUM(G42,0.12*G43,-0.67*G44)</f>
        <v>-4.2200806894316503E-2</v>
      </c>
    </row>
    <row r="46" spans="1:7" x14ac:dyDescent="0.2">
      <c r="E46" s="16" t="s">
        <v>782</v>
      </c>
      <c r="F46" s="187">
        <f>SUM($F$35,-$F$36)/$F$35</f>
        <v>5.8458836101532859E-2</v>
      </c>
      <c r="G46" s="251">
        <f>SUM($G$35,-$G$36)/$G$35</f>
        <v>5.8458836101532859E-2</v>
      </c>
    </row>
    <row r="47" spans="1:7" x14ac:dyDescent="0.2">
      <c r="E47" s="16" t="s">
        <v>778</v>
      </c>
      <c r="F47" s="20">
        <f>VLOOKUP(Macrogegevens!$C$2,'Kengetallen 2016'!$B$2:$O$382,11,0)</f>
        <v>2.4928086964994555E-2</v>
      </c>
      <c r="G47" s="290">
        <f>SUM(C9,C11,-VLOOKUP(Macrogegevens!C2,'Data investeringen'!B1:G382,6,0))/(4*G35)</f>
        <v>2.2244378394151037E-2</v>
      </c>
    </row>
    <row r="48" spans="1:7" x14ac:dyDescent="0.2">
      <c r="E48" s="16" t="s">
        <v>727</v>
      </c>
      <c r="G48" s="239">
        <f>SUM(-$G$13,$F$13,-$G$17,$F$17,-$G$19,$F$19,-$G$21,$F$21,$C$11,-$B$11,$C$15,-$B$15,$C$17,-$B$17,$C$24,-$B$24,$C$26,-$B$26,$C$28,-$B$28,-$C$40)</f>
        <v>2296007.903131634</v>
      </c>
    </row>
    <row r="49" spans="1:1" x14ac:dyDescent="0.2">
      <c r="A49" s="149"/>
    </row>
    <row r="50" spans="1:1" x14ac:dyDescent="0.2">
      <c r="A50" s="149"/>
    </row>
    <row r="52" spans="1:1" x14ac:dyDescent="0.2">
      <c r="A52" s="31"/>
    </row>
    <row r="53" spans="1:1" x14ac:dyDescent="0.2">
      <c r="A53" s="31"/>
    </row>
    <row r="54" spans="1:1" x14ac:dyDescent="0.2">
      <c r="A54" s="240"/>
    </row>
    <row r="55" spans="1:1" x14ac:dyDescent="0.2">
      <c r="A55" s="149"/>
    </row>
  </sheetData>
  <sheetProtection algorithmName="SHA-512" hashValue="LVsqNvuYn6i/Nv3Hbgmrg0CW+dZV+SKqvijGewaWYl3wy5CmKS/76tthk0oeFmh7Ghs9w72I5TwQW2azI3MzOg==" saltValue="jQQ42MQdozzNEtpX41pAng==" spinCount="100000" sheet="1" scenarios="1" selectLockedCells="1"/>
  <mergeCells count="1">
    <mergeCell ref="C6:C7"/>
  </mergeCells>
  <dataValidations xWindow="437" yWindow="586" count="13">
    <dataValidation allowBlank="1" showInputMessage="1" showErrorMessage="1" promptTitle="Afschrijvingskosten" prompt="Vul de afschrijvingskosten van het lopende boekjaar op de immateriele activa in. Dit inclusief de afschrijvingskosten op bijdragen aan investeringen van derden en afschrijvingkosten die worden gedekt uit bestemmingsreserves.    " sqref="C35"/>
    <dataValidation allowBlank="1" showInputMessage="1" showErrorMessage="1" promptTitle="Afschrijvingskosten" prompt="Vul de afschrijvingskosten van het lopende boekjaar op materiele activa in. Dit inclusief de afschrijvingskosten die worden gedekt uit bestemmingsreserves." sqref="C36"/>
    <dataValidation allowBlank="1" showInputMessage="1" showErrorMessage="1" promptTitle="Boekwinst / boekverlies" prompt="Vul de boekwinst of het boekverlies in die in 2018 wordt behaald bij de verkoop van materiele vaste activa. Vul bij winst een positief getal in en bij verlies een negatief getal in.      " sqref="C39"/>
    <dataValidation allowBlank="1" showInputMessage="1" showErrorMessage="1" promptTitle="Boekwinst / boekverlies" prompt="Vul de boekwinst of het boekverlies in die wordt behaald bij de verkoop, het afstoten of liquideren van deelneminge n in 2018. Vul bij winst een positief getal en bij verlies een negatief getal in." sqref="C40"/>
    <dataValidation type="whole" operator="greaterThanOrEqual" allowBlank="1" showInputMessage="1" showErrorMessage="1" errorTitle="Foutieve invoer" error="U hebt een negatief bedrag ingevuld." promptTitle="Verstrekken nieuwe leningen " prompt="Vul een positief bedrag voor het verstrekken van nieuwe leningen aan verbonden partijen in 2018. Aflossingen op oude leningen moeten op het blad Investeringen &amp; financiering worden ingevuld.  " sqref="C41">
      <formula1>0</formula1>
    </dataValidation>
    <dataValidation type="whole" operator="greaterThanOrEqual" allowBlank="1" showInputMessage="1" showErrorMessage="1" errorTitle="Foutieve invoer" error="U hebt een negatief bedrag ingevuld." promptTitle="Verstrekken nieuwe leningen" prompt="Vul een positief bedrag in voor het verstrekken van nieuwe leningen aan derden in 2018. Aflossingen op leningen aan derden moeten op het blad Investeringen &amp; financiering worden ingevuld." sqref="C42">
      <formula1>0</formula1>
    </dataValidation>
    <dataValidation type="whole" operator="greaterThanOrEqual" allowBlank="1" showInputMessage="1" showErrorMessage="1" errorTitle="Foutieve invoer" error="U hebt een negatief bedrag ingevuld." promptTitle="Nieuwe langlopende uitzettingen" prompt="Vul een positief bedrag in voor de nieuwe langlopende uitzettingen die in 2018 worden geplaatst. Hieronder vallen ook langlopende uitzettingen bij de schatkist.   " sqref="C43">
      <formula1>0</formula1>
    </dataValidation>
    <dataValidation allowBlank="1" showErrorMessage="1" sqref="G47:G48"/>
    <dataValidation type="whole" operator="greaterThanOrEqual" allowBlank="1" showInputMessage="1" showErrorMessage="1" errorTitle="Foutieve invoer" error="U hebt een negatief bedrag ingevuld" promptTitle="Voorraad NIEGG eindbalans" prompt="Voer hier de waardestijging (positief) in die ontstaat bij de overboeking in 2018 van Niet in Exploitatie Genomen Grond naar Onderhanden werk. " sqref="C44">
      <formula1>0</formula1>
    </dataValidation>
    <dataValidation type="whole" operator="lessThanOrEqual" allowBlank="1" showInputMessage="1" showErrorMessage="1" errorTitle="positief getal ingevoerd" error="U dient een negatief getal in te voeren" promptTitle="Mutatie onderhanden werk" prompt="Voer eerst op blad Investeringen &amp; financiering de investeringen onderhanden werk in en corrigeer hierboven afname NIEG grond. Vul dan pas hier de afname (negatief) van het onderhanden werk (kostprijs verkopen) in voor stand eindbalans 2017." sqref="C46">
      <formula1>0</formula1>
    </dataValidation>
    <dataValidation allowBlank="1" showInputMessage="1" showErrorMessage="1" promptTitle="Mutatie voorzieningen 2018" prompt="Voer het bedrag is waarmee de voorzieningen in 2018 toenemen (positief bedrag) of afnemen (negatief bedrag)." sqref="G37"/>
    <dataValidation operator="greaterThanOrEqual" allowBlank="1" showInputMessage="1" showErrorMessage="1" errorTitle="Foutieve invoer" error="U hebt een negatief bedrag ingevuld. Vul een positief bedrag in." promptTitle="Afname voorraad onderhanden werk" prompt="Vul een positief bedrag in voor de afname van de voorraad onderhanden werk door verkopen. Vul op het blad Investeringen &amp; financiering de opbrengst uit deze verkopen in." sqref="C45"/>
    <dataValidation allowBlank="1" sqref="B6:B8 B11 B13:B14 B17 B20:B21 B26 B28 B24 F6 F8 F11:F12 F17 F19 F21 F35:G36"/>
  </dataValidation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4"/>
  <sheetViews>
    <sheetView showGridLines="0" zoomScale="85" zoomScaleNormal="85" workbookViewId="0">
      <selection activeCell="D54" sqref="D54"/>
    </sheetView>
  </sheetViews>
  <sheetFormatPr defaultColWidth="9.140625" defaultRowHeight="12.75" x14ac:dyDescent="0.2"/>
  <cols>
    <col min="1" max="1" width="3" style="16" customWidth="1"/>
    <col min="2" max="2" width="37.7109375" style="16" bestFit="1" customWidth="1"/>
    <col min="3" max="3" width="34.140625" style="16" bestFit="1" customWidth="1"/>
    <col min="4" max="4" width="31" style="16" bestFit="1" customWidth="1"/>
    <col min="5" max="5" width="30.5703125" style="16" customWidth="1"/>
    <col min="6" max="6" width="31" style="16" customWidth="1"/>
    <col min="7" max="7" width="37.5703125" style="16" bestFit="1" customWidth="1"/>
    <col min="8" max="8" width="32" style="16" customWidth="1"/>
    <col min="9" max="9" width="24.42578125" style="16" customWidth="1"/>
    <col min="10" max="10" width="24.5703125" style="16" customWidth="1"/>
    <col min="11" max="11" width="30.85546875" style="16" customWidth="1"/>
    <col min="12" max="12" width="26.28515625" style="16" customWidth="1"/>
    <col min="13" max="13" width="26.42578125" style="16" customWidth="1"/>
    <col min="14" max="14" width="21.42578125" style="3" hidden="1" customWidth="1"/>
    <col min="15" max="15" width="25.5703125" style="3" hidden="1" customWidth="1"/>
    <col min="16" max="17" width="16.140625" style="3" hidden="1" customWidth="1"/>
    <col min="18" max="18" width="27.7109375" style="3" hidden="1" customWidth="1"/>
    <col min="19" max="19" width="19.28515625" style="3" hidden="1" customWidth="1"/>
    <col min="20" max="20" width="25.28515625" style="3" hidden="1" customWidth="1"/>
    <col min="21" max="21" width="61.140625" style="3" hidden="1" customWidth="1"/>
    <col min="22" max="22" width="16.28515625" style="3" hidden="1" customWidth="1"/>
    <col min="23" max="23" width="16.7109375" style="16" hidden="1" customWidth="1"/>
    <col min="24" max="24" width="8.28515625" style="16" hidden="1" customWidth="1"/>
    <col min="25" max="25" width="10.28515625" style="16" hidden="1" customWidth="1"/>
    <col min="26" max="26" width="23" style="16" hidden="1" customWidth="1"/>
    <col min="27" max="27" width="22.42578125" style="16" hidden="1" customWidth="1"/>
    <col min="28" max="28" width="15.140625" style="16" hidden="1" customWidth="1"/>
    <col min="29" max="29" width="9.140625" style="16" customWidth="1"/>
    <col min="30" max="16384" width="9.140625" style="16"/>
  </cols>
  <sheetData>
    <row r="1" spans="1:30" x14ac:dyDescent="0.2">
      <c r="A1" s="292" t="s">
        <v>114</v>
      </c>
      <c r="B1" s="292"/>
      <c r="C1" s="60">
        <f>Macrogegevens!C1</f>
        <v>2018</v>
      </c>
      <c r="H1" s="48"/>
      <c r="J1" s="48"/>
      <c r="K1" s="48"/>
      <c r="L1" s="48"/>
      <c r="N1" s="16"/>
      <c r="O1" s="2" t="s">
        <v>64</v>
      </c>
      <c r="R1" s="2" t="s">
        <v>65</v>
      </c>
      <c r="U1" s="2" t="s">
        <v>0</v>
      </c>
      <c r="V1" s="2"/>
      <c r="W1" s="2" t="s">
        <v>46</v>
      </c>
      <c r="X1" s="3"/>
      <c r="Y1" s="81" t="s">
        <v>23</v>
      </c>
      <c r="Z1" s="16" t="s">
        <v>138</v>
      </c>
      <c r="AA1" s="16" t="s">
        <v>140</v>
      </c>
      <c r="AB1" s="16" t="s">
        <v>139</v>
      </c>
    </row>
    <row r="2" spans="1:30" x14ac:dyDescent="0.2">
      <c r="A2" s="47" t="s">
        <v>110</v>
      </c>
      <c r="C2" s="16" t="s">
        <v>574</v>
      </c>
      <c r="D2" s="96" t="s">
        <v>593</v>
      </c>
      <c r="E2" s="16" t="s">
        <v>594</v>
      </c>
      <c r="F2" s="16" t="s">
        <v>28</v>
      </c>
      <c r="G2" s="16" t="s">
        <v>27</v>
      </c>
      <c r="H2" s="5"/>
      <c r="I2" s="10"/>
      <c r="K2" s="19"/>
      <c r="L2" s="10"/>
      <c r="M2" s="10"/>
      <c r="N2" s="10" t="s">
        <v>575</v>
      </c>
      <c r="O2" s="3" t="s">
        <v>44</v>
      </c>
      <c r="P2" s="3" t="s">
        <v>45</v>
      </c>
      <c r="Q2" s="3" t="s">
        <v>67</v>
      </c>
      <c r="R2" s="3" t="s">
        <v>55</v>
      </c>
      <c r="S2" s="3" t="s">
        <v>45</v>
      </c>
      <c r="T2" s="3" t="s">
        <v>108</v>
      </c>
      <c r="U2" s="3" t="s">
        <v>1</v>
      </c>
      <c r="W2" s="8">
        <f>Macrogegevens!C4</f>
        <v>1.7000000000000001E-2</v>
      </c>
      <c r="X2" s="8">
        <f>SUM(1,W2)</f>
        <v>1.0169999999999999</v>
      </c>
      <c r="Y2" s="16">
        <v>1994</v>
      </c>
      <c r="Z2" s="26">
        <v>6.8699999999999997E-2</v>
      </c>
      <c r="AA2" s="26">
        <f t="shared" ref="AA2:AA24" si="0">SUM(Z2,0.4%)</f>
        <v>7.2700000000000001E-2</v>
      </c>
      <c r="AB2" s="26">
        <f t="shared" ref="AB2:AB24" si="1">SUM(AA2,0.2%)</f>
        <v>7.4700000000000003E-2</v>
      </c>
    </row>
    <row r="3" spans="1:30" x14ac:dyDescent="0.2">
      <c r="B3" s="17" t="s">
        <v>868</v>
      </c>
      <c r="C3" s="9">
        <f>SUM(Balansprognose!B6,Balansprognose!B7)</f>
        <v>201041000</v>
      </c>
      <c r="D3" s="9">
        <f>SUM(Balansprognose!B8)</f>
        <v>1000000</v>
      </c>
      <c r="E3" s="9">
        <f>Balansprognose!B20</f>
        <v>0</v>
      </c>
      <c r="F3" s="44">
        <f>Balansprognose!B21</f>
        <v>348000</v>
      </c>
      <c r="G3" s="9">
        <f>Balansprognose!B11</f>
        <v>7693000</v>
      </c>
      <c r="H3" s="177"/>
      <c r="I3" s="10"/>
      <c r="K3" s="19"/>
      <c r="L3" s="10"/>
      <c r="M3" s="10"/>
      <c r="N3" s="10"/>
      <c r="O3" s="14"/>
      <c r="U3" s="3" t="s">
        <v>592</v>
      </c>
      <c r="W3" s="8">
        <f>SUM(Macrogegevens!C6,-W5)</f>
        <v>1.3900000000000001E-2</v>
      </c>
      <c r="X3" s="3"/>
      <c r="Y3" s="16">
        <f t="shared" ref="Y3:Y25" si="2">SUM(Y2,1)</f>
        <v>1995</v>
      </c>
      <c r="Z3" s="26">
        <v>6.9000000000000006E-2</v>
      </c>
      <c r="AA3" s="26">
        <f t="shared" si="0"/>
        <v>7.3000000000000009E-2</v>
      </c>
      <c r="AB3" s="26">
        <f t="shared" si="1"/>
        <v>7.5000000000000011E-2</v>
      </c>
    </row>
    <row r="4" spans="1:30" x14ac:dyDescent="0.2">
      <c r="B4" s="17" t="s">
        <v>869</v>
      </c>
      <c r="C4" s="260">
        <f>267.5*X24</f>
        <v>267.5</v>
      </c>
      <c r="D4" s="18"/>
      <c r="E4" s="18"/>
      <c r="F4" s="18"/>
      <c r="G4" s="18"/>
      <c r="K4" s="19"/>
      <c r="L4" s="19"/>
      <c r="N4" s="16"/>
      <c r="O4" s="14"/>
      <c r="U4" s="3" t="s">
        <v>2</v>
      </c>
      <c r="W4" s="8">
        <f>Macrogegevens!C7</f>
        <v>2.4E-2</v>
      </c>
      <c r="X4" s="3"/>
      <c r="Y4" s="16">
        <f t="shared" si="2"/>
        <v>1996</v>
      </c>
      <c r="Z4" s="26">
        <v>6.1499999999999999E-2</v>
      </c>
      <c r="AA4" s="26">
        <f t="shared" si="0"/>
        <v>6.5500000000000003E-2</v>
      </c>
      <c r="AB4" s="26">
        <f t="shared" si="1"/>
        <v>6.7500000000000004E-2</v>
      </c>
    </row>
    <row r="5" spans="1:30" x14ac:dyDescent="0.2">
      <c r="B5" s="17" t="s">
        <v>541</v>
      </c>
      <c r="C5" s="20">
        <f>SUM(Balansprognose!C35,Balansprognose!C36)/C3</f>
        <v>6.5050213638014137E-2</v>
      </c>
      <c r="D5" s="18"/>
      <c r="E5" s="18"/>
      <c r="F5" s="20"/>
      <c r="G5" s="20"/>
      <c r="J5" s="3"/>
      <c r="K5" s="7"/>
      <c r="L5" s="7"/>
      <c r="N5" s="16"/>
      <c r="O5" s="14"/>
      <c r="U5" s="3" t="s">
        <v>18</v>
      </c>
      <c r="W5" s="8">
        <f>Macrogegevens!C11</f>
        <v>3.0999999999999999E-3</v>
      </c>
      <c r="X5" s="3"/>
      <c r="Y5" s="16">
        <f t="shared" si="2"/>
        <v>1997</v>
      </c>
      <c r="Z5" s="26">
        <v>5.5800000000000002E-2</v>
      </c>
      <c r="AA5" s="26">
        <f t="shared" si="0"/>
        <v>5.9800000000000006E-2</v>
      </c>
      <c r="AB5" s="26">
        <f t="shared" si="1"/>
        <v>6.1800000000000008E-2</v>
      </c>
    </row>
    <row r="6" spans="1:30" x14ac:dyDescent="0.2">
      <c r="B6" s="16" t="s">
        <v>579</v>
      </c>
      <c r="C6" s="268">
        <f>Macrogegevens!Y5*-C4</f>
        <v>-24293755.555555556</v>
      </c>
      <c r="D6" s="268">
        <v>0</v>
      </c>
      <c r="E6" s="268">
        <v>0</v>
      </c>
      <c r="F6" s="268">
        <v>0</v>
      </c>
      <c r="G6" s="268">
        <v>0</v>
      </c>
      <c r="K6" s="19"/>
      <c r="L6" s="19"/>
      <c r="N6" s="16"/>
      <c r="O6" s="46">
        <f>SUM(C6:G6,C7,E7,F7,G7)</f>
        <v>-24293755.555555556</v>
      </c>
      <c r="P6" s="23">
        <f>W10*0.5*O6</f>
        <v>-121468.77777777778</v>
      </c>
      <c r="Q6" s="23">
        <f>SUM(O6:P6)</f>
        <v>-24415224.333333332</v>
      </c>
      <c r="R6" s="46">
        <f>SUM(C6:G6,C7,E7,F7,G7)</f>
        <v>-24293755.555555556</v>
      </c>
      <c r="S6" s="23">
        <f>W10*R6*0.5</f>
        <v>-121468.77777777778</v>
      </c>
      <c r="T6" s="23">
        <f>SUM(R6:S6)</f>
        <v>-24415224.333333332</v>
      </c>
      <c r="U6" s="3" t="s">
        <v>25</v>
      </c>
      <c r="W6" s="8">
        <f>Macrogegevens!C12</f>
        <v>1.0265062325799854E-2</v>
      </c>
      <c r="X6" s="3"/>
      <c r="Y6" s="16">
        <f t="shared" si="2"/>
        <v>1998</v>
      </c>
      <c r="Z6" s="26">
        <v>4.6199999999999998E-2</v>
      </c>
      <c r="AA6" s="26">
        <f t="shared" si="0"/>
        <v>5.0199999999999995E-2</v>
      </c>
      <c r="AB6" s="26">
        <f t="shared" si="1"/>
        <v>5.2199999999999996E-2</v>
      </c>
    </row>
    <row r="7" spans="1:30" x14ac:dyDescent="0.2">
      <c r="B7" s="16" t="s">
        <v>56</v>
      </c>
      <c r="C7" s="13">
        <v>0</v>
      </c>
      <c r="D7" s="13">
        <v>0</v>
      </c>
      <c r="E7" s="13">
        <v>0</v>
      </c>
      <c r="F7" s="13">
        <v>0</v>
      </c>
      <c r="G7" s="13">
        <v>0</v>
      </c>
      <c r="L7" s="19"/>
      <c r="N7" s="59">
        <f>SUM(C7,E7,F7,G7)</f>
        <v>0</v>
      </c>
      <c r="O7" s="23"/>
      <c r="P7" s="23"/>
      <c r="Q7" s="23"/>
      <c r="R7" s="23"/>
      <c r="S7" s="23"/>
      <c r="T7" s="23"/>
      <c r="U7" s="3" t="s">
        <v>34</v>
      </c>
      <c r="W7" s="8">
        <f>Macrogegevens!C17</f>
        <v>1.4999999999999999E-2</v>
      </c>
      <c r="X7" s="3"/>
      <c r="Y7" s="16">
        <f t="shared" si="2"/>
        <v>1999</v>
      </c>
      <c r="Z7" s="26">
        <v>4.65E-2</v>
      </c>
      <c r="AA7" s="26">
        <f t="shared" si="0"/>
        <v>5.0500000000000003E-2</v>
      </c>
      <c r="AB7" s="26">
        <f t="shared" si="1"/>
        <v>5.2500000000000005E-2</v>
      </c>
      <c r="AD7" s="206"/>
    </row>
    <row r="8" spans="1:30" hidden="1" x14ac:dyDescent="0.2">
      <c r="B8" s="16" t="s">
        <v>728</v>
      </c>
      <c r="C8" s="45">
        <f>-C4*Macrogegevens!Y6*SUM(1,Macrogegevens!C5,Macrogegevens!C6,-Macrogegevens!C11)</f>
        <v>-25375144.661209702</v>
      </c>
      <c r="D8" s="45"/>
      <c r="E8" s="45">
        <f>-VLOOKUP(Macrogegevens!$C$2,'Data investeringen'!$B$2:$Z$397,3,0)*1000</f>
        <v>-28216571.428571429</v>
      </c>
      <c r="F8" s="45">
        <f>-SUM(SUM(F3,-F6)*SUM(1,Macrogegevens!$C$4,Macrogegevens!$C$12),-SUM(F3,-F6))</f>
        <v>-9488.2416893782793</v>
      </c>
      <c r="G8" s="45">
        <f>-SUM(SUM(G3,-G6)*SUM(1,Macrogegevens!C5,Macrogegevens!C6,-Macrogegevens!C11,Macrogegevens!C12),-SUM(G3,-G6))</f>
        <v>-339761.82447237708</v>
      </c>
      <c r="L8" s="19"/>
      <c r="N8" s="16"/>
      <c r="O8" s="46">
        <f>SUM(C8:G9)</f>
        <v>-26968644.727371458</v>
      </c>
      <c r="P8" s="23">
        <f>SUM(Q6,0.5*O8)*W10</f>
        <v>-378995.46697019064</v>
      </c>
      <c r="Q8" s="23">
        <f>SUM(O8:P8)</f>
        <v>-27347640.194341648</v>
      </c>
      <c r="R8" s="46">
        <f>SUM(C8:H9)</f>
        <v>-26968644.727371458</v>
      </c>
      <c r="S8" s="23">
        <f>SUM(W10*T6,SUM(W10,W21)*R8*0.5)</f>
        <v>-513838.69060704787</v>
      </c>
      <c r="T8" s="23">
        <f>SUM(R8:S8)</f>
        <v>-27482483.417978507</v>
      </c>
      <c r="U8" s="3" t="s">
        <v>41</v>
      </c>
      <c r="W8" s="8">
        <f>Macrogegevens!C14</f>
        <v>1E-3</v>
      </c>
      <c r="X8" s="3"/>
      <c r="Y8" s="16">
        <f t="shared" si="2"/>
        <v>2000</v>
      </c>
      <c r="Z8" s="26">
        <v>5.4100000000000002E-2</v>
      </c>
      <c r="AA8" s="26">
        <f t="shared" si="0"/>
        <v>5.8099999999999999E-2</v>
      </c>
      <c r="AB8" s="26">
        <f t="shared" si="1"/>
        <v>6.0100000000000001E-2</v>
      </c>
    </row>
    <row r="9" spans="1:30" hidden="1" x14ac:dyDescent="0.2">
      <c r="B9" s="16" t="s">
        <v>57</v>
      </c>
      <c r="C9" s="9"/>
      <c r="D9" s="44"/>
      <c r="E9" s="18">
        <f>VLOOKUP(Macrogegevens!$C$2,'Data investeringen'!$B$2:$Z$397,2,0)*X15*1000</f>
        <v>26972321.428571429</v>
      </c>
      <c r="F9" s="9"/>
      <c r="G9" s="9"/>
      <c r="N9" s="59">
        <f>SUM(C9:H9)</f>
        <v>26972321.428571429</v>
      </c>
      <c r="O9" s="23"/>
      <c r="P9" s="23"/>
      <c r="Q9" s="23"/>
      <c r="R9" s="23"/>
      <c r="S9" s="23"/>
      <c r="T9" s="23"/>
      <c r="U9" s="3" t="s">
        <v>32</v>
      </c>
      <c r="W9" s="8">
        <f>Macrogegevens!C15</f>
        <v>1E-3</v>
      </c>
      <c r="X9" s="3"/>
      <c r="Y9" s="16">
        <f t="shared" si="2"/>
        <v>2001</v>
      </c>
      <c r="Z9" s="26">
        <v>4.9599999999999998E-2</v>
      </c>
      <c r="AA9" s="26">
        <f t="shared" si="0"/>
        <v>5.3599999999999995E-2</v>
      </c>
      <c r="AB9" s="26">
        <f t="shared" si="1"/>
        <v>5.5599999999999997E-2</v>
      </c>
    </row>
    <row r="10" spans="1:30" hidden="1" x14ac:dyDescent="0.2">
      <c r="B10" s="16" t="s">
        <v>870</v>
      </c>
      <c r="C10" s="45">
        <f>-C4*Macrogegevens!Y7*SUM(1,Macrogegevens!C5,Macrogegevens!C6,-Macrogegevens!C11,Macrogegevens!C12)</f>
        <v>-25890145.033957701</v>
      </c>
      <c r="D10" s="45"/>
      <c r="E10" s="45">
        <f>-VLOOKUP(Macrogegevens!$C$2,'Data investeringen'!$B$2:$Z$397,3,0)*1000</f>
        <v>-28216571.428571429</v>
      </c>
      <c r="F10" s="45">
        <f>-SUM(SUM(F3,-F6,-F8)*SUM(1,Macrogegevens!$C$4,Macrogegevens!$C$12),-SUM(F3,-F6,-F8))</f>
        <v>-9746.9391904014628</v>
      </c>
      <c r="G10" s="45">
        <f>-SUM(SUM(G3,-G6,-G8)*SUM(1,Macrogegevens!C5,Macrogegevens!C6,-Macrogegevens!C11,Macrogegevens!C12),-SUM(G3,-G6,-G8))</f>
        <v>-354767.42662612628</v>
      </c>
      <c r="N10" s="16"/>
      <c r="O10" s="46">
        <f>SUM(C10:G11)</f>
        <v>-33210695.114059944</v>
      </c>
      <c r="P10" s="23">
        <f>SUM(Q6,Q8,0.5*O10)*W10</f>
        <v>-683682.12084704952</v>
      </c>
      <c r="Q10" s="23">
        <f>SUM(O10:P10)</f>
        <v>-33894377.234906994</v>
      </c>
      <c r="R10" s="46">
        <f>SUM(C10:H11)</f>
        <v>-33210695.114059944</v>
      </c>
      <c r="S10" s="23">
        <f>SUM(W10*T6,SUM(W10,W21)*T8,SUM(W10,W22)*R10*0.5)</f>
        <v>-1291962.3384038026</v>
      </c>
      <c r="T10" s="23">
        <f>SUM(R10:S10)</f>
        <v>-34502657.452463746</v>
      </c>
      <c r="U10" s="3" t="s">
        <v>26</v>
      </c>
      <c r="W10" s="8">
        <f>Macrogegevens!C16</f>
        <v>0.01</v>
      </c>
      <c r="X10" s="3"/>
      <c r="Y10" s="16">
        <f t="shared" si="2"/>
        <v>2002</v>
      </c>
      <c r="Z10" s="26">
        <v>4.8899999999999999E-2</v>
      </c>
      <c r="AA10" s="26">
        <f t="shared" si="0"/>
        <v>5.2900000000000003E-2</v>
      </c>
      <c r="AB10" s="26">
        <f t="shared" si="1"/>
        <v>5.4900000000000004E-2</v>
      </c>
    </row>
    <row r="11" spans="1:30" hidden="1" x14ac:dyDescent="0.2">
      <c r="B11" s="16" t="s">
        <v>58</v>
      </c>
      <c r="C11" s="18"/>
      <c r="E11" s="18">
        <f>VLOOKUP(Macrogegevens!$C$2,'Data investeringen'!$B$2:$Z$397,2,0)*X16*1000</f>
        <v>21260535.714285713</v>
      </c>
      <c r="F11" s="9"/>
      <c r="G11" s="9"/>
      <c r="N11" s="59">
        <f>SUM(C11:H11)</f>
        <v>21260535.714285713</v>
      </c>
      <c r="O11" s="23"/>
      <c r="P11" s="23"/>
      <c r="Q11" s="23"/>
      <c r="R11" s="23"/>
      <c r="S11" s="23"/>
      <c r="T11" s="23"/>
      <c r="U11" s="3" t="s">
        <v>541</v>
      </c>
      <c r="W11" s="8">
        <f>C5</f>
        <v>6.5050213638014137E-2</v>
      </c>
      <c r="X11" s="3"/>
      <c r="Y11" s="16">
        <f t="shared" si="2"/>
        <v>2003</v>
      </c>
      <c r="Z11" s="26">
        <v>4.1200000000000001E-2</v>
      </c>
      <c r="AA11" s="26">
        <f t="shared" si="0"/>
        <v>4.5200000000000004E-2</v>
      </c>
      <c r="AB11" s="26">
        <f t="shared" si="1"/>
        <v>4.7200000000000006E-2</v>
      </c>
    </row>
    <row r="12" spans="1:30" hidden="1" x14ac:dyDescent="0.2">
      <c r="B12" s="16" t="s">
        <v>871</v>
      </c>
      <c r="C12" s="45">
        <f>-C4*Macrogegevens!Y8*SUM(1,Macrogegevens!C5,Macrogegevens!C6,-Macrogegevens!C11)</f>
        <v>-25898773.361327905</v>
      </c>
      <c r="D12" s="44"/>
      <c r="E12" s="45">
        <f>-VLOOKUP(Macrogegevens!$C$2,'Data investeringen'!$B$2:$X$397,3,0)*1000</f>
        <v>-28216571.428571429</v>
      </c>
      <c r="F12" s="45">
        <f>-SUM(SUM(F3,-F6,-F8,-F10)*SUM(1,Macrogegevens!$C$4,Macrogegevens!$C$12),-SUM(F3,-F6,-F8,-F10))</f>
        <v>-10012.690094913531</v>
      </c>
      <c r="G12" s="45">
        <f>-SUM(SUM(G3,-G6,-G8,-G10)*SUM(1,Macrogegevens!C5,Macrogegevens!C6,-Macrogegevens!C11,Macrogegevens!C12),-SUM(G3,-G6,-G8,-G10))</f>
        <v>-370435.75213423278</v>
      </c>
      <c r="N12" s="16"/>
      <c r="O12" s="46">
        <f>SUM(C12:G13)</f>
        <v>-33235257.517842766</v>
      </c>
      <c r="P12" s="23">
        <f>SUM(Q6,Q8,Q10,0.5*O12)*W10</f>
        <v>-1022748.7052150336</v>
      </c>
      <c r="Q12" s="23">
        <f>SUM(O12:P12)</f>
        <v>-34258006.223057799</v>
      </c>
      <c r="R12" s="46">
        <f>SUM(C12:H13)</f>
        <v>-33235257.517842766</v>
      </c>
      <c r="S12" s="23">
        <f>SUM(W10*T6,SUM(W10,W21)*T8,SUM(W10,W22)*T10,SUM(W10,W23)*R12*0.5)</f>
        <v>-2493586.785623671</v>
      </c>
      <c r="T12" s="23">
        <f>SUM(R12:S12)</f>
        <v>-35728844.303466439</v>
      </c>
      <c r="W12" s="3"/>
      <c r="X12" s="3"/>
      <c r="Y12" s="16">
        <f t="shared" si="2"/>
        <v>2004</v>
      </c>
      <c r="Z12" s="26">
        <v>4.0899999999999999E-2</v>
      </c>
      <c r="AA12" s="26">
        <f t="shared" si="0"/>
        <v>4.4899999999999995E-2</v>
      </c>
      <c r="AB12" s="26">
        <f t="shared" si="1"/>
        <v>4.6899999999999997E-2</v>
      </c>
    </row>
    <row r="13" spans="1:30" hidden="1" x14ac:dyDescent="0.2">
      <c r="B13" s="16" t="s">
        <v>59</v>
      </c>
      <c r="C13" s="18"/>
      <c r="D13" s="44"/>
      <c r="E13" s="18">
        <f>VLOOKUP(Macrogegevens!$C$2,'Data investeringen'!$B$2:$X$397,2,0)*X16*1000</f>
        <v>21260535.714285713</v>
      </c>
      <c r="F13" s="9"/>
      <c r="G13" s="9"/>
      <c r="N13" s="59">
        <f>SUM(C13:H13)</f>
        <v>21260535.714285713</v>
      </c>
      <c r="O13" s="23"/>
      <c r="P13" s="23"/>
      <c r="Q13" s="23"/>
      <c r="R13" s="23"/>
      <c r="S13" s="23"/>
      <c r="T13" s="23"/>
      <c r="W13" s="3"/>
      <c r="X13" s="3"/>
      <c r="Y13" s="16">
        <f t="shared" si="2"/>
        <v>2005</v>
      </c>
      <c r="Z13" s="26">
        <v>3.3700000000000001E-2</v>
      </c>
      <c r="AA13" s="26">
        <f t="shared" si="0"/>
        <v>3.7699999999999997E-2</v>
      </c>
      <c r="AB13" s="26">
        <f t="shared" si="1"/>
        <v>3.9699999999999999E-2</v>
      </c>
    </row>
    <row r="14" spans="1:30" hidden="1" x14ac:dyDescent="0.2">
      <c r="B14" s="16" t="s">
        <v>33</v>
      </c>
      <c r="C14" s="45">
        <f>-C4*Macrogegevens!Y9*SUM(1,Macrogegevens!C5,Macrogegevens!C6,-Macrogegevens!C11)</f>
        <v>-26164625.884043701</v>
      </c>
      <c r="D14" s="45"/>
      <c r="E14" s="45">
        <f>SUM($E$8,$E$10,$E$12)/3</f>
        <v>-28216571.428571429</v>
      </c>
      <c r="F14" s="45">
        <f>-SUM(SUM(F3,-F6,-F8,-F10,-F12)*SUM(1,Macrogegevens!$C$4,Macrogegevens!$C$12),-SUM(F3,-F6,-F8,-F10,-F12))</f>
        <v>-10285.686714400246</v>
      </c>
      <c r="G14" s="45">
        <f>-SUM(SUM(G3,-G6,-G8,-G10,-G12)*SUM(1,Macrogegevens!C5,Macrogegevens!C6,-Macrogegevens!C11,Macrogegevens!C12),-SUM(G3,-G6,-G8,-G10,-G12))</f>
        <v>-386796.07021494582</v>
      </c>
      <c r="I14" s="48"/>
      <c r="J14" s="48"/>
      <c r="K14" s="48"/>
      <c r="L14" s="48"/>
      <c r="M14" s="48"/>
      <c r="N14" s="43"/>
      <c r="O14" s="46">
        <f>SUM(C14:G15)</f>
        <v>-29365447.640973054</v>
      </c>
      <c r="P14" s="23">
        <f>SUM(Q6,Q8,Q10,Q12,0.5*O14)*W10</f>
        <v>-1345979.718061263</v>
      </c>
      <c r="Q14" s="23">
        <f>SUM(O14:P14)</f>
        <v>-30711427.359034318</v>
      </c>
      <c r="R14" s="46">
        <f>SUM(C14:H15)</f>
        <v>-29365447.640973054</v>
      </c>
      <c r="S14" s="23">
        <f>SUM(W10*T6,SUM(W10,W21)*T8,SUM(W10,W22)*T10,SUM(W10,W23)*SUM(T12,R14*0.5))</f>
        <v>-3845344.3602249343</v>
      </c>
      <c r="T14" s="23">
        <f>SUM(R14:S14)</f>
        <v>-33210792.001197986</v>
      </c>
      <c r="U14" s="2" t="s">
        <v>31</v>
      </c>
      <c r="V14" s="2"/>
      <c r="W14" s="2" t="s">
        <v>46</v>
      </c>
      <c r="X14" s="2"/>
      <c r="Y14" s="16">
        <f t="shared" si="2"/>
        <v>2006</v>
      </c>
      <c r="Z14" s="26">
        <v>3.78E-2</v>
      </c>
      <c r="AA14" s="26">
        <f t="shared" si="0"/>
        <v>4.1800000000000004E-2</v>
      </c>
      <c r="AB14" s="26">
        <f t="shared" si="1"/>
        <v>4.3800000000000006E-2</v>
      </c>
    </row>
    <row r="15" spans="1:30" hidden="1" x14ac:dyDescent="0.2">
      <c r="B15" s="16" t="s">
        <v>60</v>
      </c>
      <c r="C15" s="18"/>
      <c r="D15" s="18"/>
      <c r="E15" s="18">
        <f>SUM(SUM($E$9,$E$11,$E$13,)/3,1/3*$V$35)</f>
        <v>25412831.428571425</v>
      </c>
      <c r="F15" s="18"/>
      <c r="G15" s="18"/>
      <c r="J15" s="19"/>
      <c r="K15" s="19"/>
      <c r="L15" s="19"/>
      <c r="M15" s="19"/>
      <c r="N15" s="59">
        <f>SUM(C15:H15)</f>
        <v>25412831.428571425</v>
      </c>
      <c r="O15" s="23"/>
      <c r="P15" s="23"/>
      <c r="Q15" s="23"/>
      <c r="R15" s="23"/>
      <c r="S15" s="23"/>
      <c r="T15" s="23"/>
      <c r="U15" s="3" t="s">
        <v>874</v>
      </c>
      <c r="W15" s="7">
        <f>Macrogegevens!G7</f>
        <v>0.15</v>
      </c>
      <c r="X15" s="7">
        <f>SUM(1,-W15)</f>
        <v>0.85</v>
      </c>
      <c r="Y15" s="16">
        <f t="shared" si="2"/>
        <v>2007</v>
      </c>
      <c r="Z15" s="26">
        <v>4.2900000000000001E-2</v>
      </c>
      <c r="AA15" s="26">
        <f t="shared" si="0"/>
        <v>4.6899999999999997E-2</v>
      </c>
      <c r="AB15" s="26">
        <f t="shared" si="1"/>
        <v>4.8899999999999999E-2</v>
      </c>
    </row>
    <row r="16" spans="1:30" hidden="1" x14ac:dyDescent="0.2">
      <c r="B16" s="16" t="s">
        <v>126</v>
      </c>
      <c r="C16" s="45">
        <f>-C4*Macrogegevens!Y10*SUM(1,Macrogegevens!C5,Macrogegevens!C6,-Macrogegevens!C11)</f>
        <v>-26433207.399474647</v>
      </c>
      <c r="D16" s="45"/>
      <c r="E16" s="45">
        <f>SUM($E$8,$E$10,$E$12)/3</f>
        <v>-28216571.428571429</v>
      </c>
      <c r="F16" s="45">
        <f>-SUM(SUM(F3,-F6,-F8,-F10,-F12,-F14)*SUM(1,Macrogegevens!$C$4,Macrogegevens!$C$12),-SUM(F3,-F6,-F8,-F10,-F12,-F14))</f>
        <v>-10566.12660373206</v>
      </c>
      <c r="G16" s="45">
        <f>-SUM(SUM(G3,-G6,-G8,-G10,-G12,-G14)*SUM(1,Macrogegevens!$C$5,Macrogegevens!C6,-Macrogegevens!C11,Macrogegevens!$C$12),-SUM(G3,-G6,-G8,-G10,-G12,-G14))</f>
        <v>-403878.94276336394</v>
      </c>
      <c r="J16" s="19"/>
      <c r="K16" s="19"/>
      <c r="L16" s="19"/>
      <c r="M16" s="19"/>
      <c r="N16" s="19"/>
      <c r="O16" s="46">
        <f>SUM(C16:G17)</f>
        <v>-27403025.325984601</v>
      </c>
      <c r="P16" s="23">
        <f>SUM(Q6,Q8,Q10,Q12,Q14,0.5*O16)*W10</f>
        <v>-1643281.880076664</v>
      </c>
      <c r="Q16" s="23">
        <f>SUM(O16:P16)</f>
        <v>-29046307.206061266</v>
      </c>
      <c r="R16" s="46">
        <f>SUM(C16:H17)</f>
        <v>-27403025.325984601</v>
      </c>
      <c r="S16" s="23">
        <f>SUM(W10*T6,SUM(W10,W21)*T8,SUM(W10,W22)*T10,SUM(W10,W23)*SUM(T12,T14,R16*0.5))</f>
        <v>-5134527.5939730853</v>
      </c>
      <c r="T16" s="23">
        <f>SUM(R16:S16)</f>
        <v>-32537552.919957686</v>
      </c>
      <c r="U16" s="3" t="s">
        <v>875</v>
      </c>
      <c r="W16" s="7">
        <f>Macrogegevens!G8</f>
        <v>0.33</v>
      </c>
      <c r="X16" s="7">
        <f>SUM(1,-W16)</f>
        <v>0.66999999999999993</v>
      </c>
      <c r="Y16" s="16">
        <f t="shared" si="2"/>
        <v>2008</v>
      </c>
      <c r="Z16" s="26">
        <v>4.2299999999999997E-2</v>
      </c>
      <c r="AA16" s="26">
        <f t="shared" si="0"/>
        <v>4.6299999999999994E-2</v>
      </c>
      <c r="AB16" s="26">
        <f t="shared" si="1"/>
        <v>4.8299999999999996E-2</v>
      </c>
    </row>
    <row r="17" spans="1:28" hidden="1" x14ac:dyDescent="0.2">
      <c r="B17" s="16" t="s">
        <v>127</v>
      </c>
      <c r="C17" s="18"/>
      <c r="D17" s="18"/>
      <c r="E17" s="18">
        <f>SUM(SUM($E$9,$E$11,$E$13)/3,2/3*$V$35)</f>
        <v>27661198.571428571</v>
      </c>
      <c r="F17" s="18"/>
      <c r="G17" s="18"/>
      <c r="J17" s="19"/>
      <c r="K17" s="19"/>
      <c r="L17" s="19"/>
      <c r="M17" s="19"/>
      <c r="N17" s="59">
        <f>SUM(C17:H17)</f>
        <v>27661198.571428571</v>
      </c>
      <c r="O17" s="23"/>
      <c r="P17" s="23"/>
      <c r="Q17" s="23"/>
      <c r="R17" s="23"/>
      <c r="S17" s="23"/>
      <c r="T17" s="23"/>
      <c r="W17" s="7"/>
      <c r="X17" s="7"/>
      <c r="Y17" s="16">
        <f t="shared" si="2"/>
        <v>2009</v>
      </c>
      <c r="Z17" s="26">
        <v>3.6900000000000002E-2</v>
      </c>
      <c r="AA17" s="26">
        <f t="shared" si="0"/>
        <v>4.0900000000000006E-2</v>
      </c>
      <c r="AB17" s="26">
        <f t="shared" si="1"/>
        <v>4.2900000000000008E-2</v>
      </c>
    </row>
    <row r="18" spans="1:28" hidden="1" x14ac:dyDescent="0.2">
      <c r="B18" s="16" t="s">
        <v>559</v>
      </c>
      <c r="C18" s="45">
        <f>-C4*Macrogegevens!Y11*SUM(1,Macrogegevens!C5,Macrogegevens!C6,-Macrogegevens!C11)</f>
        <v>-26704545.920901045</v>
      </c>
      <c r="D18" s="45"/>
      <c r="E18" s="45">
        <f>SUM($E$8,$E$10,$E$12)/3</f>
        <v>-28216571.428571429</v>
      </c>
      <c r="F18" s="45">
        <f>-SUM(SUM(F3,-F6,-F8,-F10,-F12,-F14,-F16)*SUM(1,Macrogegevens!$C$4,Macrogegevens!$C$12),-SUM(F3,-F6,-F8,-F10,-F12,-F14,-F16))</f>
        <v>-10854.212704125093</v>
      </c>
      <c r="G18" s="45">
        <f>-SUM(SUM(G3,-G6,-G8,-G10,-G12,-G14,-G16)*SUM(1,Macrogegevens!C5,Macrogegevens!C6,-Macrogegevens!C11,Macrogegevens!C12),-SUM(G3,-G6,-G8,-G10,-G12,-G14,-G16))</f>
        <v>-421716.28144258447</v>
      </c>
      <c r="J18" s="7"/>
      <c r="K18" s="7"/>
      <c r="L18" s="7"/>
      <c r="M18" s="7"/>
      <c r="N18" s="16"/>
      <c r="O18" s="46">
        <f>SUM(C18:G19)</f>
        <v>-25444122.129333466</v>
      </c>
      <c r="P18" s="23">
        <f>SUM(Q6,Q8,Q10,Q12,Q14,Q16,0.5*O18)*W10</f>
        <v>-1923950.436154021</v>
      </c>
      <c r="Q18" s="23">
        <f>SUM(O18:P18)</f>
        <v>-27368072.565487489</v>
      </c>
      <c r="R18" s="46">
        <f>SUM(C18:H19)</f>
        <v>-25444122.129333466</v>
      </c>
      <c r="S18" s="23">
        <f>SUM(W10*T6,SUM(W10,W21)*T8,SUM(W10,W22)*T10,SUM(W10,W23)*SUM(T12,T14,T16,R18*0.5))</f>
        <v>-6396851.6468383707</v>
      </c>
      <c r="T18" s="23">
        <f>SUM(R18:S18)</f>
        <v>-31840973.776171837</v>
      </c>
      <c r="W18" s="7"/>
      <c r="X18" s="7"/>
      <c r="Y18" s="16">
        <f t="shared" si="2"/>
        <v>2010</v>
      </c>
      <c r="Z18" s="26">
        <v>2.9899999999999999E-2</v>
      </c>
      <c r="AA18" s="26">
        <f t="shared" si="0"/>
        <v>3.39E-2</v>
      </c>
      <c r="AB18" s="26">
        <f t="shared" si="1"/>
        <v>3.5900000000000001E-2</v>
      </c>
    </row>
    <row r="19" spans="1:28" hidden="1" x14ac:dyDescent="0.2">
      <c r="B19" s="16" t="s">
        <v>560</v>
      </c>
      <c r="C19" s="18"/>
      <c r="D19" s="18"/>
      <c r="E19" s="18">
        <f>SUM(SUM($E$9,$E$11,$E$13)/3,$V$35)</f>
        <v>29909565.714285716</v>
      </c>
      <c r="F19" s="18"/>
      <c r="G19" s="18"/>
      <c r="N19" s="59">
        <f>SUM(C19:H19)</f>
        <v>29909565.714285716</v>
      </c>
      <c r="O19" s="23"/>
      <c r="P19" s="23"/>
      <c r="Q19" s="23"/>
      <c r="R19" s="23"/>
      <c r="S19" s="23"/>
      <c r="T19" s="23"/>
      <c r="U19" s="3" t="s">
        <v>48</v>
      </c>
      <c r="W19" s="7">
        <f>Macrogegevens!G9</f>
        <v>0.12</v>
      </c>
      <c r="X19" s="7">
        <f>SUM(1,-W19)</f>
        <v>0.88</v>
      </c>
      <c r="Y19" s="16">
        <f t="shared" si="2"/>
        <v>2011</v>
      </c>
      <c r="Z19" s="26">
        <v>2.98E-2</v>
      </c>
      <c r="AA19" s="26">
        <f t="shared" si="0"/>
        <v>3.3799999999999997E-2</v>
      </c>
      <c r="AB19" s="26">
        <f t="shared" si="1"/>
        <v>3.5799999999999998E-2</v>
      </c>
    </row>
    <row r="20" spans="1:28" hidden="1" x14ac:dyDescent="0.2">
      <c r="B20" s="16" t="s">
        <v>580</v>
      </c>
      <c r="C20" s="45">
        <f>-C4*Macrogegevens!Y12*SUM(1,Macrogegevens!C5,Macrogegevens!C6,-Macrogegevens!C11)</f>
        <v>-26978669.749161281</v>
      </c>
      <c r="D20" s="45"/>
      <c r="E20" s="45">
        <f>SUM($E$8,$E$10,$E$12)/3</f>
        <v>-28216571.428571429</v>
      </c>
      <c r="F20" s="45">
        <f>-SUM(SUM(F3,-F6,-F8,-F10,-F12,-F14,-F16,-F18)*SUM(1,Macrogegevens!$C$4,Macrogegevens!$C$12),-SUM(F3,-F6,-F8,-F10,-F12,-F14,-F16,-F18))</f>
        <v>-11150.153490000521</v>
      </c>
      <c r="G20" s="45">
        <f>-SUM(SUM(G3,-G6,-G8,-G10,-G12,-G14,-G16,-G18)*SUM(1,Macrogegevens!C5,Macrogegevens!C6,-Macrogegevens!C11,Macrogegevens!C12),-SUM(G3,-G6,-G8,-G10,-G12,-G14,-G16,-G18))</f>
        <v>-440341.4072963018</v>
      </c>
      <c r="N20" s="16"/>
      <c r="O20" s="46">
        <f>SUM(C20:G21)</f>
        <v>-25737167.024233289</v>
      </c>
      <c r="P20" s="23">
        <f>SUM(Q6,Q8,Q10,Q12,Q14,Q16,Q18,0.5*O20)*W10</f>
        <v>-2199096.3862833949</v>
      </c>
      <c r="Q20" s="23">
        <f>SUM(O20:P20)</f>
        <v>-27936263.410516683</v>
      </c>
      <c r="R20" s="46">
        <f>SUM(C20:H21)</f>
        <v>-25737167.024233289</v>
      </c>
      <c r="S20" s="23">
        <f>SUM(W10*T6,SUM(W10,W21)*T8,SUM(W10,W22)*T10,SUM(W10,W23)*SUM(T12,T14,T16,T18,R20*0.5))</f>
        <v>-7676351.4957832396</v>
      </c>
      <c r="T20" s="23">
        <f>SUM(R20:S20)</f>
        <v>-33413518.520016529</v>
      </c>
      <c r="U20" s="3" t="s">
        <v>47</v>
      </c>
      <c r="W20" s="7">
        <f>Macrogegevens!G10</f>
        <v>0.12</v>
      </c>
      <c r="X20" s="7">
        <f>SUM(1,-W20)</f>
        <v>0.88</v>
      </c>
      <c r="Y20" s="16">
        <f t="shared" si="2"/>
        <v>2012</v>
      </c>
      <c r="Z20" s="26">
        <v>1.9300000000000001E-2</v>
      </c>
      <c r="AA20" s="26">
        <f t="shared" si="0"/>
        <v>2.3300000000000001E-2</v>
      </c>
      <c r="AB20" s="26">
        <f t="shared" si="1"/>
        <v>2.5300000000000003E-2</v>
      </c>
    </row>
    <row r="21" spans="1:28" hidden="1" x14ac:dyDescent="0.2">
      <c r="B21" s="16" t="s">
        <v>581</v>
      </c>
      <c r="C21" s="18"/>
      <c r="D21" s="18"/>
      <c r="E21" s="18">
        <f>SUM(SUM($E$9,$E$11,$E$13)/3,$V$35)</f>
        <v>29909565.714285716</v>
      </c>
      <c r="F21" s="18"/>
      <c r="G21" s="18"/>
      <c r="N21" s="59">
        <f>SUM(C21:H21)</f>
        <v>29909565.714285716</v>
      </c>
      <c r="O21" s="23"/>
      <c r="P21" s="23"/>
      <c r="Q21" s="23"/>
      <c r="R21" s="23"/>
      <c r="S21" s="23"/>
      <c r="T21" s="23"/>
      <c r="U21" s="3" t="s">
        <v>811</v>
      </c>
      <c r="W21" s="21">
        <f>Macrogegevens!G12</f>
        <v>0.01</v>
      </c>
      <c r="X21" s="3"/>
      <c r="Y21" s="16">
        <f t="shared" si="2"/>
        <v>2013</v>
      </c>
      <c r="Z21" s="26">
        <v>1.9599999999999999E-2</v>
      </c>
      <c r="AA21" s="26">
        <f t="shared" si="0"/>
        <v>2.3599999999999999E-2</v>
      </c>
      <c r="AB21" s="26">
        <f t="shared" si="1"/>
        <v>2.5599999999999998E-2</v>
      </c>
    </row>
    <row r="22" spans="1:28" hidden="1" x14ac:dyDescent="0.2">
      <c r="B22" s="16" t="s">
        <v>729</v>
      </c>
      <c r="C22" s="45">
        <f>-C4*Macrogegevens!Y13*SUM(1,Macrogegevens!C5,Macrogegevens!C6,-Macrogegevens!C11)</f>
        <v>-27255607.475603592</v>
      </c>
      <c r="D22" s="45"/>
      <c r="E22" s="45">
        <f>SUM($E$8,$E$10,$E$12)/3</f>
        <v>-28216571.428571429</v>
      </c>
      <c r="F22" s="45">
        <f>-SUM(SUM(F3,-F6,-F8,-F10,-F12,-F14,-F16,-F18,-F20)*SUM(1,Macrogegevens!$C$4,Macrogegevens!$C$12),-SUM(F3,-F6,-F8,-F10,-F12,-F14,-F16,-F18,-F20))</f>
        <v>-11454.163119847653</v>
      </c>
      <c r="G22" s="45">
        <f>-SUM(SUM(G3,-G6,-G8,-G10,-G12,-G14,-G16,-G18,-G20)*SUM(1,Macrogegevens!C5,Macrogegevens!C6,-Macrogegevens!C11,Macrogegevens!C12),-SUM(G3,-G6,-G8,-G10,-G12,-G14,-G16,-G18,-G20))</f>
        <v>-459789.11299417354</v>
      </c>
      <c r="N22" s="16"/>
      <c r="O22" s="46">
        <f>SUM(C22:G23)</f>
        <v>-26033856.466003321</v>
      </c>
      <c r="P22" s="23">
        <f>SUM(Q6,Q8,Q10,Q12,Q14,Q16,Q18,Q20,0.5*O22)*W10</f>
        <v>-2479942.4675974119</v>
      </c>
      <c r="Q22" s="23">
        <f>SUM(O22:P22)</f>
        <v>-28513798.933600731</v>
      </c>
      <c r="R22" s="46">
        <f>SUM(C22:H23)</f>
        <v>-26033856.466003321</v>
      </c>
      <c r="S22" s="23">
        <f>SUM(W10*T6,SUM(W10,W21)*T8,SUM(W10,W22)*T10,SUM(W10,W23)*SUM(T12,T14,T16,T18,T20,R22*0.5))</f>
        <v>-9018826.0254193004</v>
      </c>
      <c r="T22" s="23">
        <f>SUM(R22:S22)</f>
        <v>-35052682.491422623</v>
      </c>
      <c r="U22" s="3" t="s">
        <v>812</v>
      </c>
      <c r="W22" s="21">
        <f>Macrogegevens!G13</f>
        <v>0.02</v>
      </c>
      <c r="X22" s="3"/>
      <c r="Y22" s="16">
        <f t="shared" si="2"/>
        <v>2014</v>
      </c>
      <c r="Z22" s="26">
        <v>1.4500000000000001E-2</v>
      </c>
      <c r="AA22" s="26">
        <f t="shared" si="0"/>
        <v>1.8500000000000003E-2</v>
      </c>
      <c r="AB22" s="26">
        <f t="shared" si="1"/>
        <v>2.0500000000000004E-2</v>
      </c>
    </row>
    <row r="23" spans="1:28" hidden="1" x14ac:dyDescent="0.2">
      <c r="B23" s="16" t="s">
        <v>730</v>
      </c>
      <c r="C23" s="18"/>
      <c r="D23" s="18"/>
      <c r="E23" s="18">
        <f>SUM(SUM($E$9,$E$11,$E$13)/3,$V$35)</f>
        <v>29909565.714285716</v>
      </c>
      <c r="F23" s="18"/>
      <c r="G23" s="18"/>
      <c r="N23" s="59">
        <f>SUM(C23:H23)</f>
        <v>29909565.714285716</v>
      </c>
      <c r="O23" s="23"/>
      <c r="P23" s="23"/>
      <c r="Q23" s="23"/>
      <c r="R23" s="23"/>
      <c r="S23" s="23"/>
      <c r="T23" s="23"/>
      <c r="U23" s="3" t="s">
        <v>813</v>
      </c>
      <c r="W23" s="21">
        <f>Macrogegevens!G14</f>
        <v>0.03</v>
      </c>
      <c r="X23" s="3"/>
      <c r="Y23" s="16">
        <f t="shared" si="2"/>
        <v>2015</v>
      </c>
      <c r="Z23" s="26">
        <v>6.8999999999999999E-3</v>
      </c>
      <c r="AA23" s="26">
        <f t="shared" si="0"/>
        <v>1.09E-2</v>
      </c>
      <c r="AB23" s="26">
        <f t="shared" si="1"/>
        <v>1.29E-2</v>
      </c>
    </row>
    <row r="24" spans="1:28" hidden="1" x14ac:dyDescent="0.2">
      <c r="B24" s="16" t="s">
        <v>872</v>
      </c>
      <c r="C24" s="45">
        <f>-C4*Macrogegevens!Y14*SUM(1,Macrogegevens!C5,Macrogegevens!C6,-Macrogegevens!C11)</f>
        <v>-27535387.985068202</v>
      </c>
      <c r="D24" s="45"/>
      <c r="E24" s="45">
        <f>SUM($E$8,$E$10,$E$12)/3</f>
        <v>-28216571.428571429</v>
      </c>
      <c r="F24" s="45">
        <f>-SUM(SUM(F3,-F6,-F8,-F10,-F12,-F14,-F16,-F18,-F20,-F22)*SUM(1,Macrogegevens!$C$4,Macrogegevens!$C$12),-SUM(F3,-F6,-F8,-F10,-F12,-F14,-F16,-F18,-F20,-F22))</f>
        <v>-11766.461591200146</v>
      </c>
      <c r="G24" s="45">
        <f>-SUM(SUM(G3,-G6,-G8,-G10,-G12,-G14,-G16,-G18,-G20,-G22)*SUM(1,Macrogegevens!C5,Macrogegevens!C6,-Macrogegevens!C11,Macrogegevens!C12),-SUM(G3,-G6,-G8,-G10,-G12,-G14,-G16,-G18,-G20,-G22))</f>
        <v>-480095.72782628424</v>
      </c>
      <c r="N24" s="16"/>
      <c r="O24" s="46">
        <f>SUM(C24:G25)</f>
        <v>-26334255.8887714</v>
      </c>
      <c r="P24" s="23">
        <f>SUM(Q6,Q8,Q10,Q12,Q14,Q16,Q18,Q20,Q22,0.5*O24)*W10</f>
        <v>-2766582.4540472599</v>
      </c>
      <c r="Q24" s="23">
        <f>SUM(O24:P24)</f>
        <v>-29100838.342818659</v>
      </c>
      <c r="R24" s="46">
        <f>SUM(C24:H25)</f>
        <v>-26334255.8887714</v>
      </c>
      <c r="S24" s="23">
        <f>SUM(W10*T6,SUM(W10,W21)*T8,SUM(W10,W22)*T10,SUM(W10,W23)*SUM(T12,T14,T16,T18,T20,T22,R24*0.5))</f>
        <v>-10426941.313531568</v>
      </c>
      <c r="T24" s="23">
        <f>SUM(R24:S24)</f>
        <v>-36761197.20230297</v>
      </c>
      <c r="U24" s="16" t="s">
        <v>596</v>
      </c>
      <c r="V24" s="16"/>
      <c r="W24" s="7">
        <f>Macrogegevens!G19</f>
        <v>0</v>
      </c>
      <c r="X24" s="7">
        <f>SUM(1,-W24)</f>
        <v>1</v>
      </c>
      <c r="Y24" s="16">
        <f t="shared" si="2"/>
        <v>2016</v>
      </c>
      <c r="Z24" s="26">
        <v>2.8999999999999998E-3</v>
      </c>
      <c r="AA24" s="26">
        <f t="shared" si="0"/>
        <v>6.8999999999999999E-3</v>
      </c>
      <c r="AB24" s="26">
        <f t="shared" si="1"/>
        <v>8.8999999999999999E-3</v>
      </c>
    </row>
    <row r="25" spans="1:28" hidden="1" x14ac:dyDescent="0.2">
      <c r="B25" s="16" t="s">
        <v>873</v>
      </c>
      <c r="C25" s="18"/>
      <c r="D25" s="18"/>
      <c r="E25" s="18">
        <f>SUM(SUM($E$9,$E$11,$E$13)/3,$V$35)</f>
        <v>29909565.714285716</v>
      </c>
      <c r="F25" s="18"/>
      <c r="G25" s="18"/>
      <c r="N25" s="59">
        <f>SUM(C25:H25)</f>
        <v>29909565.714285716</v>
      </c>
      <c r="O25" s="14"/>
      <c r="P25" s="14"/>
      <c r="W25" s="3"/>
      <c r="X25" s="3"/>
      <c r="Y25" s="16">
        <f t="shared" si="2"/>
        <v>2017</v>
      </c>
      <c r="Z25" s="26">
        <v>5.1999999999999998E-3</v>
      </c>
      <c r="AA25" s="26">
        <f>SUM(Z25,0.4%)</f>
        <v>9.1999999999999998E-3</v>
      </c>
      <c r="AB25" s="26">
        <f>SUM(AA25,0.2%)</f>
        <v>1.12E-2</v>
      </c>
    </row>
    <row r="26" spans="1:28" x14ac:dyDescent="0.2">
      <c r="N26" s="16"/>
      <c r="W26" s="3"/>
    </row>
    <row r="27" spans="1:28" x14ac:dyDescent="0.2">
      <c r="N27" s="18"/>
      <c r="Y27" s="81" t="s">
        <v>142</v>
      </c>
      <c r="Z27" s="81">
        <v>15</v>
      </c>
      <c r="AA27" s="16" t="s">
        <v>140</v>
      </c>
      <c r="AB27" s="16" t="s">
        <v>139</v>
      </c>
    </row>
    <row r="28" spans="1:28" hidden="1" x14ac:dyDescent="0.2">
      <c r="A28" s="47" t="s">
        <v>111</v>
      </c>
      <c r="C28" s="16" t="s">
        <v>36</v>
      </c>
      <c r="D28" s="16" t="s">
        <v>37</v>
      </c>
      <c r="E28" s="16" t="s">
        <v>38</v>
      </c>
      <c r="F28" s="16" t="s">
        <v>743</v>
      </c>
      <c r="G28" s="16" t="s">
        <v>745</v>
      </c>
      <c r="H28" s="16" t="s">
        <v>29</v>
      </c>
      <c r="I28" s="16" t="s">
        <v>39</v>
      </c>
      <c r="J28" s="16" t="s">
        <v>40</v>
      </c>
      <c r="K28" s="16" t="s">
        <v>746</v>
      </c>
      <c r="L28" s="16" t="s">
        <v>35</v>
      </c>
      <c r="M28" s="16" t="s">
        <v>30</v>
      </c>
      <c r="N28" s="3" t="s">
        <v>42</v>
      </c>
      <c r="O28" s="3" t="s">
        <v>43</v>
      </c>
      <c r="P28" s="3" t="s">
        <v>44</v>
      </c>
      <c r="Q28" s="3" t="s">
        <v>45</v>
      </c>
      <c r="R28" s="3" t="s">
        <v>66</v>
      </c>
      <c r="S28" s="3" t="s">
        <v>129</v>
      </c>
      <c r="T28" s="3" t="s">
        <v>107</v>
      </c>
      <c r="U28" s="2" t="s">
        <v>550</v>
      </c>
      <c r="Y28" s="81" t="s">
        <v>141</v>
      </c>
      <c r="Z28" s="81"/>
    </row>
    <row r="29" spans="1:28" hidden="1" x14ac:dyDescent="0.2">
      <c r="B29" s="16" t="s">
        <v>868</v>
      </c>
      <c r="C29" s="9">
        <f>Balansprognose!B13</f>
        <v>10000000</v>
      </c>
      <c r="D29" s="9">
        <f>Balansprognose!B14</f>
        <v>5000000</v>
      </c>
      <c r="E29" s="9">
        <f>Balansprognose!B17</f>
        <v>20000</v>
      </c>
      <c r="F29" s="9">
        <f>Balansprognose!B24</f>
        <v>5947000</v>
      </c>
      <c r="G29" s="9">
        <f>Balansprognose!B26</f>
        <v>83187000</v>
      </c>
      <c r="H29" s="9">
        <f>Balansprognose!B28</f>
        <v>13849000</v>
      </c>
      <c r="I29" s="90">
        <f>-Balansprognose!F11</f>
        <v>-80125000</v>
      </c>
      <c r="J29" s="90">
        <f>-Balansprognose!F12</f>
        <v>-70000</v>
      </c>
      <c r="K29" s="90">
        <f>-Balansprognose!F17</f>
        <v>0</v>
      </c>
      <c r="L29" s="90">
        <f>-Balansprognose!F19</f>
        <v>-4283000</v>
      </c>
      <c r="M29" s="90">
        <f>-Balansprognose!F21</f>
        <v>-25170000</v>
      </c>
      <c r="N29" s="23"/>
      <c r="O29" s="23"/>
      <c r="P29" s="23">
        <f>SUM(C29:O29)</f>
        <v>8355000</v>
      </c>
      <c r="Q29" s="23"/>
      <c r="R29" s="23"/>
      <c r="Y29" s="16">
        <f>SUM(Y25,1)</f>
        <v>2018</v>
      </c>
      <c r="Z29" s="16">
        <f>Z27</f>
        <v>15</v>
      </c>
      <c r="AA29" s="26">
        <f>SUM(AA11*1/Z29,AA12*1/Z29,AA13*1/Z29,AA14*1/Z29,AA15*1/Z29,AA16*1/$Z$29,AA17*1/$Z$29,AA18*1/$Z$29,AA19*1/$Z$29,AA20*1/$Z$29,AA21*1/$Z$29,AA22*1/$Z$29,AA23*1/$Z$29,AA24*1/$Z$29,AA25*1/$Z$29)</f>
        <v>3.092E-2</v>
      </c>
      <c r="AB29" s="26">
        <f>SUM(AA29,0.2%)</f>
        <v>3.2919999999999998E-2</v>
      </c>
    </row>
    <row r="30" spans="1:28" hidden="1" x14ac:dyDescent="0.2">
      <c r="B30" s="16" t="s">
        <v>651</v>
      </c>
      <c r="C30" s="9">
        <f>C29/Z29</f>
        <v>666666.66666666663</v>
      </c>
      <c r="D30" s="9">
        <f>D29/Z29</f>
        <v>333333.33333333331</v>
      </c>
      <c r="E30" s="9">
        <f>E29/Z29</f>
        <v>1333.3333333333333</v>
      </c>
      <c r="F30" s="9">
        <v>0</v>
      </c>
      <c r="G30" s="9">
        <v>0</v>
      </c>
      <c r="H30" s="9">
        <v>0</v>
      </c>
      <c r="I30" s="45">
        <f>I29/Z29</f>
        <v>-5341666.666666667</v>
      </c>
      <c r="J30" s="45">
        <f>J29/Z29</f>
        <v>-4666.666666666667</v>
      </c>
      <c r="K30" s="9">
        <v>0</v>
      </c>
      <c r="L30" s="9">
        <v>0</v>
      </c>
      <c r="M30" s="9">
        <v>0</v>
      </c>
      <c r="N30" s="58">
        <f>SUM(-Balansprognose!C41,-Balansprognose!C42,-Balansprognose!C43)</f>
        <v>0</v>
      </c>
      <c r="O30" s="14">
        <f>-SUM(C30,D30,E30,F30,G30,H30,I30,J30,K30,L30,M30,N30)</f>
        <v>4345000.0000000009</v>
      </c>
      <c r="P30" s="23">
        <f>SUM(P29,R30)</f>
        <v>6541910.7333333334</v>
      </c>
      <c r="Q30" s="23">
        <f>SUM((SUM(C29,-C30)*C31),(SUM(D29,-D30)*D31),(SUM(E29,-E30)*E31),(SUM(G29,-G30)*G31),(SUM(I29,-I30)*I31),(SUM(J29,-J30)*J31),(SUM(K29,-K30)*K31),(-N30*N31),(-O30*O31))</f>
        <v>-1813089.2666666666</v>
      </c>
      <c r="R30" s="23">
        <f>SUM(C30,D30,E30,F30,G30,H30,I30,J30,K30,L30,M30,N30,O30,Q30)</f>
        <v>-1813089.2666666666</v>
      </c>
      <c r="S30" s="23">
        <f>SUM((SUM(I29,-I30)*I31),(SUM(J29,-J30)*J31),(SUM(K29,-K30)*K31),(-O30*O31))</f>
        <v>-2357770.773333333</v>
      </c>
      <c r="T30" s="46">
        <f>SUM((SUM(C29,-C30)*C31),(SUM(D29,-D30)*D31),(SUM(E29,-E30)*E31),(SUM(G29,-G30)*G31),(-N30*N31))</f>
        <v>544681.5066666666</v>
      </c>
      <c r="U30" s="138" t="s">
        <v>551</v>
      </c>
      <c r="V30" s="45">
        <f>SUM(E8,E10,E12)/3</f>
        <v>-28216571.428571429</v>
      </c>
      <c r="W30" s="18"/>
      <c r="Y30" s="16">
        <f>SUM(Y29,1)</f>
        <v>2019</v>
      </c>
      <c r="Z30" s="16">
        <f>SUM(Z27,-1)</f>
        <v>14</v>
      </c>
      <c r="AA30" s="26">
        <f>SUM(AA12*1/Z30,AA13*1/Z30,AA14*1/Z30,AA15*1/Z30,AA16*1/Z30,AA17*1/$Z$30,AA18*1/$Z$30,AA19*1/$Z$30,AA20*1/$Z$30,AA21*1/$Z$30,AA22*1/$Z$30,AA23*1/$Z$30,AA24*1/$Z$30,AA25*1/$Z$30)</f>
        <v>2.9899999999999993E-2</v>
      </c>
      <c r="AB30" s="26">
        <f t="shared" ref="AB30:AB38" si="3">SUM(AA30,0.2%)</f>
        <v>3.1899999999999991E-2</v>
      </c>
    </row>
    <row r="31" spans="1:28" ht="12.6" hidden="1" customHeight="1" x14ac:dyDescent="0.2">
      <c r="B31" s="16" t="s">
        <v>876</v>
      </c>
      <c r="C31" s="4">
        <f>AB29</f>
        <v>3.2919999999999998E-2</v>
      </c>
      <c r="D31" s="4">
        <f>AB29</f>
        <v>3.2919999999999998E-2</v>
      </c>
      <c r="E31" s="4">
        <f>AB29</f>
        <v>3.2919999999999998E-2</v>
      </c>
      <c r="F31" s="21"/>
      <c r="G31" s="4">
        <f>W8</f>
        <v>1E-3</v>
      </c>
      <c r="H31" s="21"/>
      <c r="I31" s="4">
        <f>AA29</f>
        <v>3.092E-2</v>
      </c>
      <c r="J31" s="4">
        <f>AA29</f>
        <v>3.092E-2</v>
      </c>
      <c r="K31" s="4">
        <f>W9</f>
        <v>1E-3</v>
      </c>
      <c r="L31" s="21"/>
      <c r="M31" s="21"/>
      <c r="N31" s="8">
        <f>W7</f>
        <v>1.4999999999999999E-2</v>
      </c>
      <c r="O31" s="8">
        <f>W10</f>
        <v>0.01</v>
      </c>
      <c r="P31" s="21">
        <f>Q30/P30</f>
        <v>-0.2771498023396039</v>
      </c>
      <c r="R31" s="8">
        <f>W10</f>
        <v>0.01</v>
      </c>
      <c r="U31" s="138" t="s">
        <v>552</v>
      </c>
      <c r="V31" s="18">
        <f>SUM(E9,E11,E13)/3</f>
        <v>23164464.285714284</v>
      </c>
      <c r="W31" s="59"/>
      <c r="Y31" s="16">
        <f t="shared" ref="Y31:Y38" si="4">SUM(Y30,1)</f>
        <v>2020</v>
      </c>
      <c r="Z31" s="16">
        <f>SUM(Z27,-2)</f>
        <v>13</v>
      </c>
      <c r="AA31" s="26">
        <f>SUM(AA13*1/Z31,AA14*1/Z31,AA15*1/Z31,AA16*1/Z31,AA17*1/Z31,$AA$18*1/Z31,$AA$19*1/Z31,$AA$20*1/Z31,$AA$21*1/Z31,$AA$22*1/Z31,$AA$23*1/Z31,$AA$24*1/Z31,$AA$25*1/Z31)</f>
        <v>2.8746153846153845E-2</v>
      </c>
      <c r="AB31" s="26">
        <f t="shared" si="3"/>
        <v>3.0746153846153847E-2</v>
      </c>
    </row>
    <row r="32" spans="1:28" hidden="1" x14ac:dyDescent="0.2">
      <c r="B32" s="16" t="s">
        <v>645</v>
      </c>
      <c r="C32" s="9">
        <f>C29/Z29</f>
        <v>666666.66666666663</v>
      </c>
      <c r="D32" s="9">
        <f>D29/Z29</f>
        <v>333333.33333333331</v>
      </c>
      <c r="E32" s="9">
        <f>E29/Z29</f>
        <v>1333.3333333333333</v>
      </c>
      <c r="F32" s="14"/>
      <c r="G32" s="14"/>
      <c r="H32" s="14"/>
      <c r="I32" s="45">
        <f>I29/Z29</f>
        <v>-5341666.666666667</v>
      </c>
      <c r="J32" s="45">
        <f>J29/Z29</f>
        <v>-4666.666666666667</v>
      </c>
      <c r="K32" s="14"/>
      <c r="L32" s="14"/>
      <c r="M32" s="14"/>
      <c r="N32" s="58">
        <f>SUM(-C32,-D32)</f>
        <v>-1000000</v>
      </c>
      <c r="O32" s="14">
        <f>SUM(-C32,-D32,-E32,-I32,-J32,-N32)</f>
        <v>5345000.0000000009</v>
      </c>
      <c r="P32" s="23">
        <f>SUM(P30,R32)</f>
        <v>4862200.0073333345</v>
      </c>
      <c r="Q32" s="23">
        <f>SUM((SUM(C29,-C30,-C32)*C33),(SUM(D29,-D30,-D32)*D33),(SUM(E29,-E30,-E32)*E33),(F29*F33),(SUM(G29,-G30)*G33),(H29*H33),(SUM(I29,-I30,-I32)*I33),(SUM(J29,-J30,-J32)*J33),(SUM(K29,-K30)*K33),(L29*L33),(M29*M33),(SUM(-N30,-N32)*N33),(SUM(-O30,-O32)*O33),(R30*R31))</f>
        <v>-1679710.7259999993</v>
      </c>
      <c r="R32" s="23">
        <f>SUM(C32,D32,N32,Q32)</f>
        <v>-1679710.7259999993</v>
      </c>
      <c r="S32" s="23">
        <f>SUM((SUM(I29,-I30,-I32)*I33),(SUM(J29,-J30,-J32)*J33),(SUM(K29,-K30)*K33),(SUM(-O30,-O32)*O33),(R30*R31))</f>
        <v>-2193150.6593333329</v>
      </c>
      <c r="T32" s="46">
        <f>SUM((SUM(C29,-C30,-C32)*C33),(SUM(D29,-D30,-D32)*D33),(SUM(E29,-E30,-E32)*E33),(SUM(G29,-G30)*G33),(SUM(-N30,-N32)*N33))</f>
        <v>513439.93333333329</v>
      </c>
      <c r="U32" s="28" t="s">
        <v>553</v>
      </c>
      <c r="V32" s="46">
        <f>-SUM(V30,V31)</f>
        <v>5052107.1428571455</v>
      </c>
      <c r="Y32" s="16">
        <f t="shared" si="4"/>
        <v>2021</v>
      </c>
      <c r="Z32" s="16">
        <f>SUM(Z27,-3)</f>
        <v>12</v>
      </c>
      <c r="AA32" s="26">
        <f>SUM(AA14*1/Z32,AA15*1/Z32,AA16*1/Z32,AA17*1/Z32,AA18*1/Z32,$AA$19*1/Z32,$AA$20*1/Z32,$AA$21*1/Z32,$AA$22*1/Z32,$AA$23*1/Z32,$AA$24*1/Z32,$AA$25*1/Z32)</f>
        <v>2.7999999999999997E-2</v>
      </c>
      <c r="AB32" s="26">
        <f t="shared" si="3"/>
        <v>0.03</v>
      </c>
    </row>
    <row r="33" spans="2:28" hidden="1" x14ac:dyDescent="0.2">
      <c r="B33" s="16" t="s">
        <v>886</v>
      </c>
      <c r="C33" s="4">
        <f>AB30</f>
        <v>3.1899999999999991E-2</v>
      </c>
      <c r="D33" s="4">
        <f>AB30</f>
        <v>3.1899999999999991E-2</v>
      </c>
      <c r="E33" s="4">
        <f>AB30</f>
        <v>3.1899999999999991E-2</v>
      </c>
      <c r="F33" s="21"/>
      <c r="G33" s="21">
        <f>$W$8</f>
        <v>1E-3</v>
      </c>
      <c r="H33" s="21"/>
      <c r="I33" s="4">
        <f>AA30</f>
        <v>2.9899999999999993E-2</v>
      </c>
      <c r="J33" s="4">
        <f>AA30</f>
        <v>2.9899999999999993E-2</v>
      </c>
      <c r="K33" s="21">
        <f>W9</f>
        <v>1E-3</v>
      </c>
      <c r="L33" s="21"/>
      <c r="M33" s="21"/>
      <c r="N33" s="8">
        <f>W7</f>
        <v>1.4999999999999999E-2</v>
      </c>
      <c r="O33" s="8">
        <f>W10</f>
        <v>0.01</v>
      </c>
      <c r="P33" s="21">
        <f>Q32/P32</f>
        <v>-0.34546310794837787</v>
      </c>
      <c r="Q33" s="14"/>
      <c r="R33" s="8">
        <f>W10</f>
        <v>0.01</v>
      </c>
      <c r="U33" s="28" t="s">
        <v>707</v>
      </c>
      <c r="V33" s="14">
        <f>SUM(V31,V32)*0.06</f>
        <v>1692994.2857142857</v>
      </c>
      <c r="Y33" s="16">
        <f t="shared" si="4"/>
        <v>2022</v>
      </c>
      <c r="Z33" s="16">
        <f>SUM(Z27,-4)</f>
        <v>11</v>
      </c>
      <c r="AA33" s="26">
        <f>SUM(AA15*1/Z33,AA16*1/Z33,AA17*1/Z33,AA18*1/Z33,AA19*1/Z33,$AA$20*1/Z33,$AA$21*1/Z33,$AA$22*1/Z33,$AA$23*1/Z33,$AA$24*1/Z33,$AA$25*1/Z33)</f>
        <v>2.6745454545454544E-2</v>
      </c>
      <c r="AB33" s="26">
        <f t="shared" si="3"/>
        <v>2.8745454545454546E-2</v>
      </c>
    </row>
    <row r="34" spans="2:28" hidden="1" x14ac:dyDescent="0.2">
      <c r="B34" s="16" t="s">
        <v>879</v>
      </c>
      <c r="C34" s="9">
        <f>C29/Z29</f>
        <v>666666.66666666663</v>
      </c>
      <c r="D34" s="9">
        <f>D29/Z29</f>
        <v>333333.33333333331</v>
      </c>
      <c r="E34" s="9">
        <f>E29/Z29</f>
        <v>1333.3333333333333</v>
      </c>
      <c r="F34" s="14"/>
      <c r="G34" s="14"/>
      <c r="H34" s="14"/>
      <c r="I34" s="45">
        <f>I29/Z29</f>
        <v>-5341666.666666667</v>
      </c>
      <c r="J34" s="45">
        <f>J29/Z29</f>
        <v>-4666.666666666667</v>
      </c>
      <c r="K34" s="14"/>
      <c r="L34" s="14"/>
      <c r="M34" s="14"/>
      <c r="N34" s="58">
        <f>SUM(-C34,-D34)</f>
        <v>-1000000</v>
      </c>
      <c r="O34" s="14">
        <f>SUM(-C34,-D34,-E34,-I34,-J34,-N34)</f>
        <v>5345000.0000000009</v>
      </c>
      <c r="P34" s="23">
        <f>SUM(P32,R34)</f>
        <v>3315316.5458682068</v>
      </c>
      <c r="Q34" s="23">
        <f>SUM((SUM(C29,-C30,-C32,-C34)*C35),(SUM(D29,-D30,-D32,-D34)*D35),(SUM(E29,-E30,-E32,-E34)*E35),(F29*F35),(SUM(G29-G30)*G35),(H29*H35),(SUM(I29,-I30,-I32,-I34)*I35),(SUM(J29,-J30,-J32,-J34)*J35),(SUM(K29,-K30)*K35),(L29*L35),(M29*M35),(SUM(-N30,-N32,-N34)*N35),(SUM(-O30,-O32,-O34)*O35),(R30*R31),(R32*R33))</f>
        <v>-1546883.461465128</v>
      </c>
      <c r="R34" s="23">
        <f>SUM(C34,D34,N34,Q34)</f>
        <v>-1546883.461465128</v>
      </c>
      <c r="S34" s="23">
        <f>SUM((SUM(I29,-I30,-I32,-I34)*I35),(SUM(J29,-J30,-J32,-J34)*J35),(SUM(K29,-K30)*K35),(SUM(-O30,-O32,-O34)*O35),(SUM(R30,R32)*R33))</f>
        <v>-2029516.2460805126</v>
      </c>
      <c r="T34" s="46">
        <f>SUM((SUM(C29,-C30,-C32,-C34)*C35),(SUM(D29,-D30,-D32,-D34)*D35),(SUM(E29,-E30,-E32,-E34)*E35),(SUM(G29,-G30)*G35),(SUM(-N30,-N32,-N34)*N35))</f>
        <v>482632.78461538471</v>
      </c>
      <c r="U34" s="28" t="s">
        <v>708</v>
      </c>
      <c r="V34" s="46">
        <f>SUM(V32,V33)</f>
        <v>6745101.428571431</v>
      </c>
      <c r="Y34" s="16">
        <f t="shared" si="4"/>
        <v>2023</v>
      </c>
      <c r="Z34" s="16">
        <f>SUM(Z27,-5)</f>
        <v>10</v>
      </c>
      <c r="AA34" s="26">
        <f>SUM(AA16*1/Z34,AA17*1/Z34,AA18*1/Z34,AA19*1/Z34,AA20*1/Z34,$AA$21*1/Z34,$AA$22*1/Z34,$AA$23*1/Z34,$AA$24*1/Z34,$AA$25*1/Z34)</f>
        <v>2.4730000000000002E-2</v>
      </c>
      <c r="AB34" s="26">
        <f t="shared" si="3"/>
        <v>2.6730000000000004E-2</v>
      </c>
    </row>
    <row r="35" spans="2:28" hidden="1" x14ac:dyDescent="0.2">
      <c r="B35" s="16" t="s">
        <v>887</v>
      </c>
      <c r="C35" s="4">
        <f>AB31</f>
        <v>3.0746153846153847E-2</v>
      </c>
      <c r="D35" s="4">
        <f>AB31</f>
        <v>3.0746153846153847E-2</v>
      </c>
      <c r="E35" s="4">
        <f>AB31</f>
        <v>3.0746153846153847E-2</v>
      </c>
      <c r="F35" s="21"/>
      <c r="G35" s="21">
        <f>$W$8</f>
        <v>1E-3</v>
      </c>
      <c r="H35" s="21"/>
      <c r="I35" s="4">
        <f>AA31</f>
        <v>2.8746153846153845E-2</v>
      </c>
      <c r="J35" s="4">
        <f>AA31</f>
        <v>2.8746153846153845E-2</v>
      </c>
      <c r="K35" s="21">
        <f>W9</f>
        <v>1E-3</v>
      </c>
      <c r="L35" s="21"/>
      <c r="M35" s="21"/>
      <c r="N35" s="8">
        <f>W7</f>
        <v>1.4999999999999999E-2</v>
      </c>
      <c r="O35" s="8">
        <f>W10</f>
        <v>0.01</v>
      </c>
      <c r="P35" s="21">
        <f>Q34/P34</f>
        <v>-0.46658695785564391</v>
      </c>
      <c r="R35" s="8">
        <f>W10</f>
        <v>0.01</v>
      </c>
      <c r="U35" s="28" t="s">
        <v>709</v>
      </c>
      <c r="V35" s="46">
        <f>IF(Macrogegevens!C12&gt;0,V34,V32)</f>
        <v>6745101.428571431</v>
      </c>
      <c r="Y35" s="16">
        <f t="shared" si="4"/>
        <v>2024</v>
      </c>
      <c r="Z35" s="16">
        <f>SUM(Z27,-6)</f>
        <v>9</v>
      </c>
      <c r="AA35" s="26">
        <f>SUM(AA17*1/Z35,AA18*1/Z35,AA19*1/Z35,AA20*1/Z35,AA21*1/Z35,$AA$22*1/Z35,$AA$23*1/Z35,$AA$24*1/Z35,$AA$25*1/Z35)</f>
        <v>2.2333333333333334E-2</v>
      </c>
      <c r="AB35" s="26">
        <f t="shared" si="3"/>
        <v>2.4333333333333332E-2</v>
      </c>
    </row>
    <row r="36" spans="2:28" hidden="1" x14ac:dyDescent="0.2">
      <c r="B36" s="16" t="s">
        <v>582</v>
      </c>
      <c r="C36" s="9">
        <f>C29/Z29</f>
        <v>666666.66666666663</v>
      </c>
      <c r="D36" s="9">
        <f>D29/Z29</f>
        <v>333333.33333333331</v>
      </c>
      <c r="E36" s="9">
        <f>E29/Z29</f>
        <v>1333.3333333333333</v>
      </c>
      <c r="F36" s="14"/>
      <c r="G36" s="14"/>
      <c r="H36" s="14"/>
      <c r="I36" s="45">
        <f>I29/Z29</f>
        <v>-5341666.666666667</v>
      </c>
      <c r="J36" s="45">
        <f>J29/Z29</f>
        <v>-4666.666666666667</v>
      </c>
      <c r="K36" s="14"/>
      <c r="L36" s="14"/>
      <c r="M36" s="14"/>
      <c r="N36" s="58">
        <f>SUM(-C36,-D36)</f>
        <v>-1000000</v>
      </c>
      <c r="O36" s="14">
        <f>SUM(-C36,-D36,-E36,-I36,-J36,-N36)</f>
        <v>5345000.0000000009</v>
      </c>
      <c r="P36" s="23">
        <f>SUM(P34,R36)</f>
        <v>1873076.0446602225</v>
      </c>
      <c r="Q36" s="23">
        <f>SUM((SUM(C29,-C30,-C32,-C34,-C36)*C37),(SUM(D29,-D30,-D32,-D34,-D36)*D37),(SUM(E29,-E30,-E32,-E34,-E36)*E37),(F29*F37),(SUM(G29,-G30)*G37),(H29*H37),(SUM(I29,-I30,-I32,-I34,-I36)*I37),(SUM(J29,-J30,-J32,-J34,-J36)*J37),(SUM(K29,-K30)*K37),(L29*L37),(M29*M37),(SUM(-N30,-N32,-N34,-N36)*N37),(SUM(-O30,-O32,-O34,-O36)*O37),(R30*R31),(R32*R33),(R34*R35))</f>
        <v>-1442240.5012079843</v>
      </c>
      <c r="R36" s="23">
        <f>SUM(C36,D36,N36,Q36)</f>
        <v>-1442240.5012079843</v>
      </c>
      <c r="S36" s="23">
        <f>SUM((SUM(I29,-I30,-I32,-I34,-I36)*I37),(SUM(J29,-J30,-J32,-J34,-J36)*J37),(SUM(K29,-K30)*K37),(SUM(-O30,-O32,-O34,-O36)*O37),(SUM(R30,R32,R34)*R35))</f>
        <v>-1900867.5012079843</v>
      </c>
      <c r="T36" s="46">
        <f>SUM((SUM(C29,-C30,-C32,-C34,-C36)*C37),(SUM(D29,-D30,-D32,-D34,-D36)*D37),(SUM(E29,-E30,-E32,-E34,-E36)*E37),(SUM(G29,-G30)*G37),(SUM(-N30,-N32,-N34,-N36)*N37))</f>
        <v>458627</v>
      </c>
      <c r="U36" s="23"/>
      <c r="Y36" s="16">
        <f t="shared" si="4"/>
        <v>2025</v>
      </c>
      <c r="Z36" s="16">
        <f>SUM(Z27,-7)</f>
        <v>8</v>
      </c>
      <c r="AA36" s="26">
        <f>SUM(AA18*1/Z36,AA19*1/Z36,AA20*1/Z36,AA21*1/Z36,AA22*1/Z36,$AA$23*1/Z36,$AA$24*1/Z36,$AA$25*1/Z36)</f>
        <v>2.0012499999999996E-2</v>
      </c>
      <c r="AB36" s="26">
        <f t="shared" si="3"/>
        <v>2.2012499999999997E-2</v>
      </c>
    </row>
    <row r="37" spans="2:28" hidden="1" x14ac:dyDescent="0.2">
      <c r="B37" s="16" t="s">
        <v>880</v>
      </c>
      <c r="C37" s="4">
        <f>AB32</f>
        <v>0.03</v>
      </c>
      <c r="D37" s="4">
        <f>AB32</f>
        <v>0.03</v>
      </c>
      <c r="E37" s="4">
        <f>AB32</f>
        <v>0.03</v>
      </c>
      <c r="F37" s="21"/>
      <c r="G37" s="21">
        <f>$W$8</f>
        <v>1E-3</v>
      </c>
      <c r="H37" s="21"/>
      <c r="I37" s="4">
        <f>AA32</f>
        <v>2.7999999999999997E-2</v>
      </c>
      <c r="J37" s="4">
        <f>AA32</f>
        <v>2.7999999999999997E-2</v>
      </c>
      <c r="K37" s="21">
        <f>W9</f>
        <v>1E-3</v>
      </c>
      <c r="L37" s="21"/>
      <c r="M37" s="21"/>
      <c r="N37" s="8">
        <f>W7</f>
        <v>1.4999999999999999E-2</v>
      </c>
      <c r="O37" s="8">
        <f>W10</f>
        <v>0.01</v>
      </c>
      <c r="P37" s="21">
        <f>Q36/P36</f>
        <v>-0.76998502293568538</v>
      </c>
      <c r="R37" s="8">
        <f>W10</f>
        <v>0.01</v>
      </c>
      <c r="Y37" s="16">
        <f t="shared" si="4"/>
        <v>2026</v>
      </c>
      <c r="Z37" s="16">
        <f>SUM(Z27,-8)</f>
        <v>7</v>
      </c>
      <c r="AA37" s="26">
        <f>SUM(AA19*1/Z37,AA20*1/Z37,AA21*1/Z37,AA22*1/Z37,AA23*1/Z37,$AA$24*1/Z37,$AA$25*1/Z37)</f>
        <v>1.8028571428571425E-2</v>
      </c>
      <c r="AB37" s="26">
        <f t="shared" si="3"/>
        <v>2.0028571428571423E-2</v>
      </c>
    </row>
    <row r="38" spans="2:28" hidden="1" x14ac:dyDescent="0.2">
      <c r="B38" s="16" t="s">
        <v>647</v>
      </c>
      <c r="C38" s="9">
        <f>C29/Z29</f>
        <v>666666.66666666663</v>
      </c>
      <c r="D38" s="9">
        <f>D29/Z29</f>
        <v>333333.33333333331</v>
      </c>
      <c r="E38" s="9">
        <f>E29/Z29</f>
        <v>1333.3333333333333</v>
      </c>
      <c r="F38" s="14"/>
      <c r="G38" s="14"/>
      <c r="H38" s="14"/>
      <c r="I38" s="45">
        <f>I29/Z29</f>
        <v>-5341666.666666667</v>
      </c>
      <c r="J38" s="45">
        <f>J29/Z29</f>
        <v>-4666.666666666667</v>
      </c>
      <c r="K38" s="14"/>
      <c r="L38" s="14"/>
      <c r="M38" s="14"/>
      <c r="N38" s="58">
        <f>SUM(-C38,-D38)</f>
        <v>-1000000</v>
      </c>
      <c r="O38" s="14">
        <f>SUM(-C38,-D38,-E38,-I38,-J38,-N38)</f>
        <v>5345000.0000000009</v>
      </c>
      <c r="P38" s="23">
        <f>SUM(P36,R38)</f>
        <v>552130.47177349147</v>
      </c>
      <c r="Q38" s="24">
        <f>SUM((SUM(C29,-C30,-C32,-C34,-C36,-C38)*C39),(SUM(D29,-D30,-D32,-D34,-D36,-D38)*D39),(SUM(E29,-E30,-E32,-E34,-E36,-E38)*E39),(F29*F39),(SUM(G29,-G30)*G39),(H29*H39),(SUM(I29,-I30,-I32,-I34,-I36,-I38)*I39),(SUM(J29,-J30,-J32,-J34,-J36,-J38)*J39),(SUM(K29,-K30)*K39),(L29*L39),(M29*M39),(SUM(-N30,-N32,-N34,-N36,-N38)*N39),(SUM(-O30,-O32,-O34,-O36,-O38)*O39),(R30*R31),(R32*R33),(R34*R35),(R36*R37))</f>
        <v>-1320945.572886731</v>
      </c>
      <c r="R38" s="23">
        <f>SUM(C38,D38,N38,Q38)</f>
        <v>-1320945.572886731</v>
      </c>
      <c r="S38" s="23">
        <f>SUM((SUM(I29,-I30,-I32,-I34,-I36,-I38)*I39),(SUM(J29,-J30,-J32,-J34,-J36,-J38)*J39),(SUM(K29,-K30)*K39),(SUM(-O30,-O32,-O34,-O36,-O38)*O39),(SUM(R30,R32,R34,R36)*R37))</f>
        <v>-1751970.3910685491</v>
      </c>
      <c r="T38" s="46">
        <f>SUM((SUM(C29,-C30,-C32,-C34,-C36,-C38)*C39),(SUM(D29,-D30,-D32,-D34,-D36,-D38)*D39),(SUM(E29,-E30,-E32,-E34,-E36,-E38)*E39),(SUM(G29,-G30)*G39),(SUM(-N30,-N32,-N34,-N36,-N38)*N39))</f>
        <v>431024.81818181818</v>
      </c>
      <c r="U38" s="23"/>
      <c r="Y38" s="16">
        <f t="shared" si="4"/>
        <v>2027</v>
      </c>
      <c r="Z38" s="16">
        <f>SUM(Z27,-9)</f>
        <v>6</v>
      </c>
      <c r="AA38" s="26">
        <f>SUM(AA20*1/Z38,AA21*1/Z38,AA22*1/Z38,AA23*1/Z38,AA24*1/Z38,$AA$25*1/Z38)</f>
        <v>1.5399999999999999E-2</v>
      </c>
      <c r="AB38" s="26">
        <f t="shared" si="3"/>
        <v>1.7399999999999999E-2</v>
      </c>
    </row>
    <row r="39" spans="2:28" hidden="1" x14ac:dyDescent="0.2">
      <c r="B39" s="16" t="s">
        <v>583</v>
      </c>
      <c r="C39" s="4">
        <f>AB33</f>
        <v>2.8745454545454546E-2</v>
      </c>
      <c r="D39" s="4">
        <f>AB33</f>
        <v>2.8745454545454546E-2</v>
      </c>
      <c r="E39" s="4">
        <f>AB33</f>
        <v>2.8745454545454546E-2</v>
      </c>
      <c r="F39" s="21"/>
      <c r="G39" s="21">
        <f>$W$8</f>
        <v>1E-3</v>
      </c>
      <c r="H39" s="21"/>
      <c r="I39" s="4">
        <f>AA33</f>
        <v>2.6745454545454544E-2</v>
      </c>
      <c r="J39" s="4">
        <f>AA33</f>
        <v>2.6745454545454544E-2</v>
      </c>
      <c r="K39" s="21">
        <f>W9</f>
        <v>1E-3</v>
      </c>
      <c r="L39" s="21"/>
      <c r="M39" s="21"/>
      <c r="N39" s="8">
        <f>W7</f>
        <v>1.4999999999999999E-2</v>
      </c>
      <c r="O39" s="8">
        <f>W10</f>
        <v>0.01</v>
      </c>
      <c r="P39" s="21">
        <f>Q38/P38</f>
        <v>-2.392451857699029</v>
      </c>
      <c r="R39" s="8">
        <f>W10</f>
        <v>0.01</v>
      </c>
    </row>
    <row r="40" spans="2:28" hidden="1" x14ac:dyDescent="0.2">
      <c r="B40" s="16" t="s">
        <v>881</v>
      </c>
      <c r="C40" s="9">
        <f>C29/Z29</f>
        <v>666666.66666666663</v>
      </c>
      <c r="D40" s="9">
        <f>D29/Z29</f>
        <v>333333.33333333331</v>
      </c>
      <c r="E40" s="9">
        <f>E29/Z29</f>
        <v>1333.3333333333333</v>
      </c>
      <c r="F40" s="14"/>
      <c r="G40" s="14"/>
      <c r="H40" s="14"/>
      <c r="I40" s="45">
        <f>I29/Z29</f>
        <v>-5341666.666666667</v>
      </c>
      <c r="J40" s="45">
        <f>J29/Z29</f>
        <v>-4666.666666666667</v>
      </c>
      <c r="K40" s="14"/>
      <c r="L40" s="14"/>
      <c r="M40" s="14"/>
      <c r="N40" s="58">
        <f>SUM(-C40,-D40)</f>
        <v>-1000000</v>
      </c>
      <c r="O40" s="14">
        <f>SUM(-C40,-D40,-E40,-I40,-J40,-N40)</f>
        <v>5345000.0000000009</v>
      </c>
      <c r="P40" s="23">
        <f>SUM(P38,R40)</f>
        <v>-627453.87350877374</v>
      </c>
      <c r="Q40" s="24">
        <f>SUM((SUM(C29,-C30,-C32,-C34,-C36,-C38,-C40)*C41),(SUM(D29,-D30,-D32,-D34,-D36,-D38,-D40)*D41),(SUM(E29,-E30,-E32,-E34,-E36,-E38,-E40)*E41),(F29*F41),(SUM(G29,-G30)*G41),(H29*H41),(SUM(I29,-I30,-I32,-I34,-I36,-I38,-I40)*I41),(SUM(J29,-J30,-J32,-J34,-J36,-J38,-J40)*J41),(SUM(K29,-K30)*K41),(L29*L41),(M29*M41),(SUM(-N30,-N32,-N34,-N36,-N38,-N40)*N41),(SUM(-O30,-O32,-O34,-O36,-O38,-O40)*O41),(R30*R31),(R32*R33),(R34*R35),(R36*R37),(R38*R39))</f>
        <v>-1179584.3452822652</v>
      </c>
      <c r="R40" s="23">
        <f>SUM(C40,D40,N40,Q40)</f>
        <v>-1179584.3452822652</v>
      </c>
      <c r="S40" s="23">
        <f>SUM((SUM(I29,-I30,-I32,-I34,-I36,-I38,-I40)*I41),(SUM(J29,-J30,-J32,-J34,-J36,-J38,-J40)*J41),(SUM(K29,-K30)*K41),(SUM(-O30,-O32,-O34,-O36,-O38,-O40)*O41),(SUM(R30,R32,R34,R36,R38)*R39))</f>
        <v>-1578662.105282265</v>
      </c>
      <c r="T40" s="46">
        <f>SUM((SUM(C29,-C30,-C32,-C34,-C36,-C38,-C40)*C41),(SUM(D29,-D30,-D32,-D34,-D36,-D38,-D40)*D41),(SUM(E29,-E30,-E32,-E34,-E36,-E38,-E40)*E41),(SUM(G29,-G30)*G41),(SUM(-N30,-N32,-N34,-N36,-N38,-N40)*N41))</f>
        <v>399077.76000000007</v>
      </c>
      <c r="U40" s="23"/>
    </row>
    <row r="41" spans="2:28" hidden="1" x14ac:dyDescent="0.2">
      <c r="B41" s="16" t="s">
        <v>888</v>
      </c>
      <c r="C41" s="4">
        <f>AB34</f>
        <v>2.6730000000000004E-2</v>
      </c>
      <c r="D41" s="4">
        <f>AB34</f>
        <v>2.6730000000000004E-2</v>
      </c>
      <c r="E41" s="4">
        <f>AB34</f>
        <v>2.6730000000000004E-2</v>
      </c>
      <c r="F41" s="21"/>
      <c r="G41" s="21">
        <f>$W$8</f>
        <v>1E-3</v>
      </c>
      <c r="H41" s="21"/>
      <c r="I41" s="4">
        <f>AA34</f>
        <v>2.4730000000000002E-2</v>
      </c>
      <c r="J41" s="4">
        <f>AA34</f>
        <v>2.4730000000000002E-2</v>
      </c>
      <c r="K41" s="21">
        <f>W9</f>
        <v>1E-3</v>
      </c>
      <c r="L41" s="21"/>
      <c r="M41" s="21"/>
      <c r="N41" s="8">
        <f>W7</f>
        <v>1.4999999999999999E-2</v>
      </c>
      <c r="O41" s="8">
        <f>W10</f>
        <v>0.01</v>
      </c>
      <c r="P41" s="21">
        <f>Q40/P40</f>
        <v>1.8799538820055925</v>
      </c>
      <c r="R41" s="8">
        <f>W10</f>
        <v>0.01</v>
      </c>
    </row>
    <row r="42" spans="2:28" hidden="1" x14ac:dyDescent="0.2">
      <c r="B42" s="16" t="s">
        <v>882</v>
      </c>
      <c r="C42" s="9">
        <f>C29/Z29</f>
        <v>666666.66666666663</v>
      </c>
      <c r="D42" s="9">
        <f>D29/Z29</f>
        <v>333333.33333333331</v>
      </c>
      <c r="E42" s="9">
        <f>E29/Z29</f>
        <v>1333.3333333333333</v>
      </c>
      <c r="F42" s="14"/>
      <c r="G42" s="14"/>
      <c r="H42" s="14"/>
      <c r="I42" s="45">
        <f>I29/Z29</f>
        <v>-5341666.666666667</v>
      </c>
      <c r="J42" s="45">
        <f>J29/Z29</f>
        <v>-4666.666666666667</v>
      </c>
      <c r="K42" s="14"/>
      <c r="L42" s="14"/>
      <c r="M42" s="14"/>
      <c r="N42" s="58">
        <f>SUM(-C42,-D42)</f>
        <v>-1000000</v>
      </c>
      <c r="O42" s="14">
        <f>SUM(-C42,-D42,-E42,-I42,-J42,-N42)</f>
        <v>5345000.0000000009</v>
      </c>
      <c r="P42" s="23">
        <f>SUM(P40,R42)</f>
        <v>-1668526.745577195</v>
      </c>
      <c r="Q42" s="24">
        <f>SUM((SUM(C29,-C30,-C32,-C34,-C36,-C38,-C40,-C42)*C43),(SUM(D29,-D30,-D32,-D34,-D36,-D38,-D40,-D42)*D43),(SUM(E29,-E30,-E32,-E34,-E36,-E38,-E40,-E42)*E43),(F29*F43),(SUM(G29,-G30)*G43),(H29*H43),(SUM(I29,-I30,-I32,-I34,-I36,-I38,-I40,-I42)*I43),(SUM(J29,-J30,-J32,-J34,-J36,-J38,-J40,-J42)*J43),(SUM(K29,-K30)*K43),(L29*L43),(M29*M43),(SUM(-N30,-N32,-N34,-N36,-N38,-N40,-N42)*N43),(SUM(-O30,-O32,-O34,-O36,-O38,-O40,-O42)*O43),(R30*R31),(R32*R33),(R34*R35),(R36*R37),(R38*R39),(R40*R41))</f>
        <v>-1041072.8720684212</v>
      </c>
      <c r="R42" s="23">
        <f>SUM(C42,D42,N42,Q42)</f>
        <v>-1041072.8720684212</v>
      </c>
      <c r="S42" s="23">
        <f>SUM((SUM(I29,-I30,-I32,-I34,-I36,-I38,-I40,-I42)*I43),(SUM(J29,-J30,-J32,-J34,-J36,-J38,-J40,-J42)*J43),(SUM(K29,-K30)*K43),(SUM(-O30,-O32,-O34,-O36,-O38,-O40,-O42)*O43),(SUM(R30,R32,R34,R36,R38,R40)*R41))</f>
        <v>-1409186.0942906435</v>
      </c>
      <c r="T42" s="46">
        <f>SUM((SUM(C29,-C30,-C32,-C34,-C36,-C38,-C40,-C42)*C43),(SUM(D29,-D30,-D32,-D34,-D36,-D38,-D40,-D42)*D43),(SUM(E29,-E30,-E32,-E34,-E36,-E38,-E40,-E42)*E43),(SUM(G29,-G30)*G43),(SUM(-N30,-N32,-N34,-N36,-N38,-N40,-N42)*N43))</f>
        <v>368113.22222222225</v>
      </c>
      <c r="U42" s="23"/>
    </row>
    <row r="43" spans="2:28" hidden="1" x14ac:dyDescent="0.2">
      <c r="B43" s="16" t="s">
        <v>883</v>
      </c>
      <c r="C43" s="4">
        <f>AB35</f>
        <v>2.4333333333333332E-2</v>
      </c>
      <c r="D43" s="4">
        <f>AB35</f>
        <v>2.4333333333333332E-2</v>
      </c>
      <c r="E43" s="4">
        <f>AB35</f>
        <v>2.4333333333333332E-2</v>
      </c>
      <c r="F43" s="21"/>
      <c r="G43" s="21">
        <f>$W$8</f>
        <v>1E-3</v>
      </c>
      <c r="H43" s="21"/>
      <c r="I43" s="4">
        <f>AA35</f>
        <v>2.2333333333333334E-2</v>
      </c>
      <c r="J43" s="4">
        <f>AA35</f>
        <v>2.2333333333333334E-2</v>
      </c>
      <c r="K43" s="21">
        <f>W9</f>
        <v>1E-3</v>
      </c>
      <c r="L43" s="21"/>
      <c r="M43" s="21"/>
      <c r="N43" s="8">
        <f>W7</f>
        <v>1.4999999999999999E-2</v>
      </c>
      <c r="O43" s="8">
        <f>W10</f>
        <v>0.01</v>
      </c>
      <c r="P43" s="21">
        <f>Q42/P42</f>
        <v>0.62394736843626797</v>
      </c>
      <c r="R43" s="8">
        <f>W10</f>
        <v>0.01</v>
      </c>
    </row>
    <row r="44" spans="2:28" hidden="1" x14ac:dyDescent="0.2">
      <c r="B44" s="16" t="s">
        <v>584</v>
      </c>
      <c r="C44" s="9">
        <f>C29/Z29</f>
        <v>666666.66666666663</v>
      </c>
      <c r="D44" s="9">
        <f>D29/Z29</f>
        <v>333333.33333333331</v>
      </c>
      <c r="E44" s="9">
        <f>E29/Z29</f>
        <v>1333.3333333333333</v>
      </c>
      <c r="F44" s="14"/>
      <c r="G44" s="14"/>
      <c r="H44" s="14"/>
      <c r="I44" s="45">
        <f>I29/Z29</f>
        <v>-5341666.666666667</v>
      </c>
      <c r="J44" s="45">
        <f>J29/Z29</f>
        <v>-4666.666666666667</v>
      </c>
      <c r="K44" s="14"/>
      <c r="L44" s="14"/>
      <c r="M44" s="14"/>
      <c r="N44" s="58">
        <f>SUM(-C44,-D44)</f>
        <v>-1000000</v>
      </c>
      <c r="O44" s="14">
        <f>SUM(-C44,-D44,-E44,-I44,-J44,-N44)</f>
        <v>5345000.0000000009</v>
      </c>
      <c r="P44" s="23">
        <f>SUM(P42,R44)</f>
        <v>-2592836.5338663002</v>
      </c>
      <c r="Q44" s="24">
        <f>SUM((SUM(C29,-C30,-C32,-C34,-C36,-C38,-C40,-C42,-C44)*C45),(SUM(D29,-D30,-D32,-D34,-D36,-D38,-D40,-D42,-D44)*D45),(SUM(E29,-E30,-E32,-E34,-E36,-E38,-E40,-E42,-E44)*E45),(F29*F45),(SUM(G29,-G30)*G45),(H29*H45),(SUM(I29,-I30,-I32,-I34,-I36,-I38,-I40,-I42,-I44)*I45),(SUM(J29,-J30,-J32,-J34,-J36,-J38,-J40,-J42,-J44)*J45),(SUM(K29,-K30)*K45),(L29*L45),(M29*M45),(SUM(-N30,-N32,-N34,-N36,-N38,-N40,-N42,-N44)*N45),(SUM(-O30,-O32,-O34,-O36,-O38,-O40,-O42,-O44)*O45),(R30*R31),(R32*R33),(R34*R35),(R36*R37),(R38*R39),(R40*R41),(R42*R43))</f>
        <v>-924309.78828910529</v>
      </c>
      <c r="R44" s="23">
        <f>SUM(C44,D44,N44,Q44)</f>
        <v>-924309.78828910529</v>
      </c>
      <c r="S44" s="23">
        <f>SUM((SUM(I29,-I30,-I32,-I34,-I36,-I38,-I40,-I42,-I44)*I45),(SUM(J29,-J30,-J32,-J34,-J36,-J38,-J40,-J42,-J44)*J45),(SUM(K29,-K30)*K45),(SUM(-O30,-O32,-O34,-O36,-O38,-O40,-O42,-O44)*O45),(SUM(R30,R32,R34,R36,R38,R40,R42)*R43))</f>
        <v>-1266789.7382891055</v>
      </c>
      <c r="T44" s="46">
        <f>SUM((SUM(C29,-C30,-C32,-C34,-C36,-C38,-C40,-C42,-C44)*C45),(SUM(D29,-D30,-D32,-D34,-D36,-D38,-D40,-D42,-D44)*D45),(SUM(E29,-E30,-E32,-E34,-E36,-E38,-E40,-E42,-E44)*E45),(SUM(G29,-G30)*G45),(SUM(-N30,-N32,-N34,-N36,-N38,-N40,-N42,-N44)*N45))</f>
        <v>342479.94999999995</v>
      </c>
      <c r="U44" s="23"/>
    </row>
    <row r="45" spans="2:28" hidden="1" x14ac:dyDescent="0.2">
      <c r="B45" s="16" t="s">
        <v>585</v>
      </c>
      <c r="C45" s="4">
        <f>AB36</f>
        <v>2.2012499999999997E-2</v>
      </c>
      <c r="D45" s="4">
        <f>AB36</f>
        <v>2.2012499999999997E-2</v>
      </c>
      <c r="E45" s="4">
        <f>AB36</f>
        <v>2.2012499999999997E-2</v>
      </c>
      <c r="F45" s="21"/>
      <c r="G45" s="21">
        <f>$W$8</f>
        <v>1E-3</v>
      </c>
      <c r="H45" s="21"/>
      <c r="I45" s="4">
        <f>AA36</f>
        <v>2.0012499999999996E-2</v>
      </c>
      <c r="J45" s="4">
        <f>AA36</f>
        <v>2.0012499999999996E-2</v>
      </c>
      <c r="K45" s="21">
        <f>W9</f>
        <v>1E-3</v>
      </c>
      <c r="L45" s="21"/>
      <c r="M45" s="21"/>
      <c r="N45" s="8">
        <f>W7</f>
        <v>1.4999999999999999E-2</v>
      </c>
      <c r="O45" s="8">
        <f>W10</f>
        <v>0.01</v>
      </c>
      <c r="P45" s="21">
        <f>Q44/P44</f>
        <v>0.35648594742331235</v>
      </c>
      <c r="R45" s="8">
        <f>W10</f>
        <v>0.01</v>
      </c>
    </row>
    <row r="46" spans="2:28" hidden="1" x14ac:dyDescent="0.2">
      <c r="B46" s="16" t="s">
        <v>649</v>
      </c>
      <c r="C46" s="9">
        <f>C29/Z29</f>
        <v>666666.66666666663</v>
      </c>
      <c r="D46" s="9">
        <f>D29/Z29</f>
        <v>333333.33333333331</v>
      </c>
      <c r="E46" s="9">
        <f>E29/Z29</f>
        <v>1333.3333333333333</v>
      </c>
      <c r="F46" s="14"/>
      <c r="G46" s="14"/>
      <c r="H46" s="14"/>
      <c r="I46" s="45">
        <f>I29/Z29</f>
        <v>-5341666.666666667</v>
      </c>
      <c r="J46" s="45">
        <f>J29/Z29</f>
        <v>-4666.666666666667</v>
      </c>
      <c r="K46" s="14"/>
      <c r="L46" s="14"/>
      <c r="M46" s="14"/>
      <c r="N46" s="58">
        <f>SUM(-C46,-D46)</f>
        <v>-1000000</v>
      </c>
      <c r="O46" s="14">
        <f>SUM(-C46,-D46,-E46,-I46,-J46,-N46)</f>
        <v>5345000.0000000009</v>
      </c>
      <c r="P46" s="23">
        <f>SUM(P44,R46)</f>
        <v>-3428166.7563478202</v>
      </c>
      <c r="Q46" s="24">
        <f>SUM((SUM(C29,-C30,-C32,-C34,-C36,-C38,-C40,-C42,-C44,-C46)*C47),(SUM(D29,-D30,-D32,-D34,-D36,-D38,-D40,-D42,-D44,-D46)*D47),(SUM(E29,-E30,-E32,-E34,-E36,-E38,-E40,-E42,-E44,-E46)*E47),(F29*F47),(SUM(G29,-G30)*G47),(H29*H47),(SUM(I29,-I30,-I32,-I34,-I36,-I38,-I40,-I42,-I44,-I46)*I47),(SUM(J29,-J30,-J32,-J34,-J36,-J38,-J40,-J42,-J44,-J46)*J47),(SUM(K29,-K30)*K47),(L29*L47),(M29*M47),(SUM(-N30,-N32,-N34,-N36,-N38,-N40,-N42,-N44,-N46)*N47),(SUM(-O30,-O32,-O34,-O36,-O38,-O40,-O42,-O44,-O46)*O47),(R30*R31),(R32*R33),(R34*R35),(R36*R37),(R38*R39),(R40*R41),(R42*R43),(R44*R45))</f>
        <v>-835330.22248152015</v>
      </c>
      <c r="R46" s="23">
        <f>SUM(C46,D46,N46,Q46)</f>
        <v>-835330.22248152015</v>
      </c>
      <c r="S46" s="23">
        <f>SUM((SUM(I29,-I30,-I32,-I34,-I36,-I38,-I40,-I42,-I44,-I46)*I47),(SUM(J29,-J30,-J32,-J34,-J36,-J38,-J40,-J42,-J44,-J46)*J47),(SUM(K29,-K30)*K47),(SUM(-O30,-O32,-O34,-O36,-O38,-O40,-O42,-O44,-O46)*O47),(SUM(R30,R32,R34,R36,R38,R40,R42,R44)*R45))</f>
        <v>-1158848.8796243775</v>
      </c>
      <c r="T46" s="46">
        <f>SUM((SUM(C29,-C30,-C32,-C34,-C36,-C38,-C40,-C42,-C44,-C46)*C47),(SUM(D29,-D30,-D32,-D34,-D36,-D38,-D40,-D42,-D44,-D46)*D47),(SUM(E29,-E30,-E32,-E34,-E36,-E38,-E40,-E42,-E44,-E46)*E47),(SUM(G29-G30)*G47),(SUM(-N30,-N32,-N34,-N36,-N38,-N40,-N42,-N44,-N46)*N47))</f>
        <v>323518.65714285709</v>
      </c>
      <c r="U46" s="23"/>
    </row>
    <row r="47" spans="2:28" hidden="1" x14ac:dyDescent="0.2">
      <c r="B47" s="16" t="s">
        <v>650</v>
      </c>
      <c r="C47" s="4">
        <f>AB37</f>
        <v>2.0028571428571423E-2</v>
      </c>
      <c r="D47" s="4">
        <f>AB37</f>
        <v>2.0028571428571423E-2</v>
      </c>
      <c r="E47" s="4">
        <f>AB37</f>
        <v>2.0028571428571423E-2</v>
      </c>
      <c r="F47" s="21"/>
      <c r="G47" s="21">
        <f>$W$8</f>
        <v>1E-3</v>
      </c>
      <c r="H47" s="21"/>
      <c r="I47" s="4">
        <f>AA37</f>
        <v>1.8028571428571425E-2</v>
      </c>
      <c r="J47" s="4">
        <f>AA37</f>
        <v>1.8028571428571425E-2</v>
      </c>
      <c r="K47" s="21">
        <f>W9</f>
        <v>1E-3</v>
      </c>
      <c r="L47" s="21"/>
      <c r="M47" s="21"/>
      <c r="N47" s="8">
        <f>W7</f>
        <v>1.4999999999999999E-2</v>
      </c>
      <c r="O47" s="8">
        <f>W10</f>
        <v>0.01</v>
      </c>
      <c r="P47" s="21">
        <f>Q46/P46</f>
        <v>0.24366674139604425</v>
      </c>
      <c r="R47" s="8">
        <f>W10</f>
        <v>0.01</v>
      </c>
    </row>
    <row r="48" spans="2:28" hidden="1" x14ac:dyDescent="0.2">
      <c r="B48" s="16" t="s">
        <v>884</v>
      </c>
      <c r="C48" s="9">
        <f>C29/Z29</f>
        <v>666666.66666666663</v>
      </c>
      <c r="D48" s="9">
        <f>D29/Z29</f>
        <v>333333.33333333331</v>
      </c>
      <c r="E48" s="9">
        <f>E29/Z29</f>
        <v>1333.3333333333333</v>
      </c>
      <c r="F48" s="3"/>
      <c r="G48" s="3"/>
      <c r="H48" s="3"/>
      <c r="I48" s="45">
        <f>I29/Z29</f>
        <v>-5341666.666666667</v>
      </c>
      <c r="J48" s="45">
        <f>J29/Z29</f>
        <v>-4666.666666666667</v>
      </c>
      <c r="K48" s="3"/>
      <c r="L48" s="3"/>
      <c r="M48" s="3"/>
      <c r="N48" s="58">
        <f>SUM(-C48,-D48)</f>
        <v>-1000000</v>
      </c>
      <c r="O48" s="14">
        <f>SUM(-C48,-D48,-E48,-I48,-J48,-N48)</f>
        <v>5345000.0000000009</v>
      </c>
      <c r="P48" s="23">
        <f>SUM(P46,R48)</f>
        <v>-4176863.0905779651</v>
      </c>
      <c r="Q48" s="24">
        <f>SUM((SUM(C29,-C30,-C32,-C34,-C36,-C38,-C40,-C42,-C44,-C46,-C48)*C49),(SUM(D29,-D30,-D32,-D34,-D36,-D38,-D40,-D42,-D44,-D46,-D48)*D49),(SUM(E29,-E30,-E32,-E34,-E36,-E38,-E40,-E42,-E44,-E46,-E48)*E49),(F29*F49),(SUM(G29,-G30)*G49),(H29*H49),(SUM(I29,-I30,-I32,-I34,-I36,-I38,-I40,-I42,-I44,-I46,-I48)*I49),(SUM(J29,-J30,-J32,-J34,-J36,-J38,-J40,-J42,-J44,-J46,-J48)*J49),(SUM(K29,-K30)*K49),(L29*L49),(M29*M49),(SUM(-N30,-N32,-N34,-N36,-N38,-N40,-N42,-N44,-N46,-N48)*N49),(SUM(-O30,-O32,-O34,-O36,-O38,-O40,-O42,-O44,-O46,-O48)*O49),(R30*R31),(R32*R33),(R34*R35),(R36*R37),(R38*R39),(R40*R41),(R42*R43),(R44*R45),(R46*R47))</f>
        <v>-748696.33423014497</v>
      </c>
      <c r="R48" s="23">
        <f>SUM(C48,D48,N48,Q48)</f>
        <v>-748696.33423014497</v>
      </c>
      <c r="S48" s="23">
        <f>SUM((SUM(I29,-I30,-I32,-I34,-I36,-I38,-I40,-I42,-I44,-I46,-I48)*I49),(SUM(J29,-J30,-J32,-J34,-J36,-J38,-J40,-J42,-J44,-J46,-J48)*J49),(SUM(K29,-K30)*K49),(SUM(-O30,-O32,-O34,-O36,-O38,-O40,-O42,-O44,-O46,-O48)*O49),(SUM(R30,R32,R34,R36,R38,R40,R42,R44,R46)*R47))</f>
        <v>-1053999.334230145</v>
      </c>
      <c r="T48" s="46">
        <f>SUM((SUM(C29,-C30,-C32,-C34,-C36,-C38,-C40,-C42,-C44,-C46,-C48)*C49),(SUM(D29,-D30,-D32,-D34,-D36,-D38,-D40,-D42,-D44,-D46,-D48)*D49),(SUM(E29,-E30,-E32,-E34,-E36,-E38,-E40,-E42,-E44,-E46,-E48)*E49),(SUM(G29,-G30)*G49),(SUM(-N30,-N32,-N34,-N36,-N38,-N40,-N42,-N44,-N46,-N48)*N49))</f>
        <v>305303</v>
      </c>
      <c r="U48" s="23"/>
    </row>
    <row r="49" spans="1:26" hidden="1" x14ac:dyDescent="0.2">
      <c r="B49" s="16" t="s">
        <v>885</v>
      </c>
      <c r="C49" s="4">
        <f>AB38</f>
        <v>1.7399999999999999E-2</v>
      </c>
      <c r="D49" s="4">
        <f>AB38</f>
        <v>1.7399999999999999E-2</v>
      </c>
      <c r="E49" s="4">
        <f>AB38</f>
        <v>1.7399999999999999E-2</v>
      </c>
      <c r="F49" s="21"/>
      <c r="G49" s="21">
        <f>$W$8</f>
        <v>1E-3</v>
      </c>
      <c r="H49" s="21"/>
      <c r="I49" s="4">
        <f>AA38</f>
        <v>1.5399999999999999E-2</v>
      </c>
      <c r="J49" s="4">
        <f>AA38</f>
        <v>1.5399999999999999E-2</v>
      </c>
      <c r="K49" s="21">
        <f>W9</f>
        <v>1E-3</v>
      </c>
      <c r="L49" s="21"/>
      <c r="M49" s="21"/>
      <c r="N49" s="8">
        <f>W7</f>
        <v>1.4999999999999999E-2</v>
      </c>
      <c r="O49" s="8">
        <f>W10</f>
        <v>0.01</v>
      </c>
      <c r="P49" s="21">
        <f>Q48/P48</f>
        <v>0.17924847379341458</v>
      </c>
    </row>
    <row r="50" spans="1:26" s="5" customFormat="1" hidden="1" x14ac:dyDescent="0.2">
      <c r="C50" s="9"/>
      <c r="D50" s="9"/>
      <c r="E50" s="9"/>
      <c r="F50" s="9"/>
      <c r="G50" s="9"/>
      <c r="H50" s="9"/>
      <c r="I50" s="9"/>
      <c r="J50" s="9"/>
      <c r="K50" s="9"/>
      <c r="L50" s="9"/>
      <c r="M50" s="9"/>
      <c r="N50" s="14"/>
      <c r="O50" s="3"/>
      <c r="P50" s="14"/>
      <c r="Q50" s="3"/>
      <c r="R50" s="3"/>
      <c r="S50" s="3"/>
      <c r="T50" s="3"/>
      <c r="U50" s="3"/>
      <c r="V50" s="3"/>
      <c r="Z50" s="16"/>
    </row>
    <row r="51" spans="1:26" s="3" customFormat="1" ht="14.25" customHeight="1" x14ac:dyDescent="0.2">
      <c r="A51" s="2" t="s">
        <v>61</v>
      </c>
      <c r="P51" s="14"/>
      <c r="Z51" s="5"/>
    </row>
    <row r="52" spans="1:26" s="3" customFormat="1" x14ac:dyDescent="0.2">
      <c r="C52" s="3" t="s">
        <v>36</v>
      </c>
      <c r="D52" s="3" t="s">
        <v>37</v>
      </c>
      <c r="E52" s="3" t="s">
        <v>38</v>
      </c>
      <c r="F52" s="3" t="s">
        <v>913</v>
      </c>
      <c r="G52" s="3" t="s">
        <v>914</v>
      </c>
      <c r="H52" s="3" t="s">
        <v>29</v>
      </c>
      <c r="I52" s="3" t="s">
        <v>39</v>
      </c>
      <c r="J52" s="3" t="s">
        <v>40</v>
      </c>
      <c r="K52" s="3" t="s">
        <v>915</v>
      </c>
      <c r="L52" s="3" t="s">
        <v>35</v>
      </c>
      <c r="M52" s="3" t="s">
        <v>30</v>
      </c>
      <c r="N52" s="3" t="s">
        <v>42</v>
      </c>
      <c r="O52" s="3" t="s">
        <v>43</v>
      </c>
      <c r="P52" s="3" t="s">
        <v>44</v>
      </c>
      <c r="Q52" s="3" t="s">
        <v>45</v>
      </c>
      <c r="R52" s="3" t="s">
        <v>66</v>
      </c>
      <c r="S52" s="3" t="s">
        <v>129</v>
      </c>
      <c r="T52" s="3" t="s">
        <v>107</v>
      </c>
    </row>
    <row r="53" spans="1:26" s="3" customFormat="1" x14ac:dyDescent="0.2">
      <c r="B53" s="3" t="s">
        <v>868</v>
      </c>
      <c r="C53" s="14">
        <f t="shared" ref="C53:D55" si="5">C29</f>
        <v>10000000</v>
      </c>
      <c r="D53" s="14">
        <f t="shared" si="5"/>
        <v>5000000</v>
      </c>
      <c r="E53" s="14">
        <f t="shared" ref="E53:M53" si="6">E29</f>
        <v>20000</v>
      </c>
      <c r="F53" s="14">
        <f t="shared" si="6"/>
        <v>5947000</v>
      </c>
      <c r="G53" s="14">
        <f t="shared" si="6"/>
        <v>83187000</v>
      </c>
      <c r="H53" s="14">
        <f t="shared" si="6"/>
        <v>13849000</v>
      </c>
      <c r="I53" s="280">
        <f t="shared" si="6"/>
        <v>-80125000</v>
      </c>
      <c r="J53" s="280">
        <f t="shared" si="6"/>
        <v>-70000</v>
      </c>
      <c r="K53" s="280">
        <f t="shared" si="6"/>
        <v>0</v>
      </c>
      <c r="L53" s="280">
        <f t="shared" si="6"/>
        <v>-4283000</v>
      </c>
      <c r="M53" s="280">
        <f t="shared" si="6"/>
        <v>-25170000</v>
      </c>
      <c r="N53" s="23"/>
      <c r="O53" s="23"/>
      <c r="P53" s="23">
        <f>SUM(C53:O53)</f>
        <v>8355000</v>
      </c>
      <c r="Q53" s="23"/>
      <c r="R53" s="23"/>
    </row>
    <row r="54" spans="1:26" s="3" customFormat="1" x14ac:dyDescent="0.2">
      <c r="B54" s="3" t="s">
        <v>651</v>
      </c>
      <c r="C54" s="13">
        <v>0</v>
      </c>
      <c r="D54" s="13">
        <v>0</v>
      </c>
      <c r="E54" s="13">
        <v>0</v>
      </c>
      <c r="F54" s="279">
        <v>0</v>
      </c>
      <c r="G54" s="279">
        <v>0</v>
      </c>
      <c r="H54" s="279">
        <v>0</v>
      </c>
      <c r="I54" s="282">
        <f t="shared" ref="I54:J56" si="7">I30</f>
        <v>-5341666.666666667</v>
      </c>
      <c r="J54" s="282">
        <f t="shared" si="7"/>
        <v>-4666.666666666667</v>
      </c>
      <c r="K54" s="279">
        <v>0</v>
      </c>
      <c r="L54" s="279">
        <v>0</v>
      </c>
      <c r="M54" s="279">
        <v>0</v>
      </c>
      <c r="N54" s="58">
        <f>SUM(-Balansprognose!C41,-Balansprognose!C42,-Balansprognose!C43)</f>
        <v>0</v>
      </c>
      <c r="O54" s="14">
        <f>-SUM(C54,D54,E54,F54,G54,H54,I54,J54,K54,L54,M54,N54)</f>
        <v>5346333.333333334</v>
      </c>
      <c r="P54" s="23">
        <f>SUM(P53,R54)</f>
        <v>7396731.293333333</v>
      </c>
      <c r="Q54" s="23">
        <f>SUM(S54,T54)</f>
        <v>-958268.70666666655</v>
      </c>
      <c r="R54" s="23">
        <f>SUM(C54,D54,E54,F54,G54,H54,I54,J54,K54,L54,M54,N54,O54,Q54)</f>
        <v>-958268.70666666655</v>
      </c>
      <c r="S54" s="23">
        <f>SUM((SUM(I53,-I54)*I55),(SUM(J53,-J54)*J55),(SUM(K53,-K54)*K55),(-O54*O55))</f>
        <v>-2367784.1066666665</v>
      </c>
      <c r="T54" s="46">
        <f>SUM((SUM(C53,-C54)*C55),(SUM(D53,-D54)*D55),(SUM(E53,-E54)*E55),(SUM(G53,-G54)*G55),(-N54*N55))</f>
        <v>1409515.4</v>
      </c>
      <c r="U54" s="159"/>
    </row>
    <row r="55" spans="1:26" s="3" customFormat="1" hidden="1" x14ac:dyDescent="0.2">
      <c r="B55" s="3" t="s">
        <v>876</v>
      </c>
      <c r="C55" s="21">
        <f t="shared" si="5"/>
        <v>3.2919999999999998E-2</v>
      </c>
      <c r="D55" s="21">
        <f t="shared" si="5"/>
        <v>3.2919999999999998E-2</v>
      </c>
      <c r="E55" s="21">
        <f t="shared" ref="E55:E61" si="8">E31</f>
        <v>3.2919999999999998E-2</v>
      </c>
      <c r="F55" s="21">
        <f>F31</f>
        <v>0</v>
      </c>
      <c r="G55" s="21">
        <f>SUM(W8,W21)</f>
        <v>1.0999999999999999E-2</v>
      </c>
      <c r="H55" s="21">
        <f>H31</f>
        <v>0</v>
      </c>
      <c r="I55" s="21">
        <f>I31</f>
        <v>3.092E-2</v>
      </c>
      <c r="J55" s="21">
        <f>J31</f>
        <v>3.092E-2</v>
      </c>
      <c r="K55" s="21">
        <f>SUM(W9,W21)</f>
        <v>1.0999999999999999E-2</v>
      </c>
      <c r="L55" s="21">
        <f>L31</f>
        <v>0</v>
      </c>
      <c r="M55" s="21">
        <f>M31</f>
        <v>0</v>
      </c>
      <c r="N55" s="8">
        <f>W7</f>
        <v>1.4999999999999999E-2</v>
      </c>
      <c r="O55" s="8">
        <f>W10</f>
        <v>0.01</v>
      </c>
      <c r="P55" s="21">
        <f>Q54/P54</f>
        <v>-0.1295529969474967</v>
      </c>
      <c r="R55" s="8">
        <f>W10</f>
        <v>0.01</v>
      </c>
    </row>
    <row r="56" spans="1:26" s="3" customFormat="1" hidden="1" x14ac:dyDescent="0.2">
      <c r="B56" s="3" t="s">
        <v>877</v>
      </c>
      <c r="C56" s="14">
        <f>SUM(C32*X19,C53*W19)</f>
        <v>1786666.6666666665</v>
      </c>
      <c r="D56" s="14">
        <f>SUM(D32*X20,D53*W20)</f>
        <v>893333.33333333326</v>
      </c>
      <c r="E56" s="14">
        <f t="shared" si="8"/>
        <v>1333.3333333333333</v>
      </c>
      <c r="F56" s="14"/>
      <c r="G56" s="14"/>
      <c r="H56" s="14"/>
      <c r="I56" s="57">
        <f t="shared" si="7"/>
        <v>-5341666.666666667</v>
      </c>
      <c r="J56" s="57">
        <f t="shared" si="7"/>
        <v>-4666.666666666667</v>
      </c>
      <c r="K56" s="14"/>
      <c r="L56" s="14"/>
      <c r="M56" s="14"/>
      <c r="N56" s="58">
        <f>SUM(-C32*X19,-D32*X20)</f>
        <v>-880000</v>
      </c>
      <c r="O56" s="14">
        <f>-SUM(C56,-C53*W19,D56,-D53*W20,E56,I56,J56,N56)</f>
        <v>5345000.0000000009</v>
      </c>
      <c r="P56" s="23">
        <f>SUM(P54,R56)</f>
        <v>5511195.9729333334</v>
      </c>
      <c r="Q56" s="23">
        <f>SUM(S56,T56)</f>
        <v>-85535.320399999153</v>
      </c>
      <c r="R56" s="23">
        <f>SUM(C56,-C53*W19*2,D56,-D53*W20*2,N56,Q56)</f>
        <v>-1885535.3203999994</v>
      </c>
      <c r="S56" s="23">
        <f>SUM((SUM(I53,-I54,-I56)*I57),(SUM(J53,-J54,-J56)*J57),(SUM(K53,-K54)*K57),(-O54*O55),(-O56*O57),(R54*R55))</f>
        <v>-2248065.7870666659</v>
      </c>
      <c r="T56" s="46">
        <f>SUM((SUM(C53,-C54,-C56)*C57),(SUM(D53,-D54,-D56)*D57),(SUM(E53,-E54,-E56)*E57),(SUM(G53,-G54)*G57),(-N54*N55),(-N56*N57))</f>
        <v>2162530.4666666668</v>
      </c>
      <c r="U56" s="159"/>
    </row>
    <row r="57" spans="1:26" s="3" customFormat="1" hidden="1" x14ac:dyDescent="0.2">
      <c r="B57" s="3" t="s">
        <v>878</v>
      </c>
      <c r="C57" s="21">
        <f>C33</f>
        <v>3.1899999999999991E-2</v>
      </c>
      <c r="D57" s="21">
        <f>D33</f>
        <v>3.1899999999999991E-2</v>
      </c>
      <c r="E57" s="21">
        <f t="shared" si="8"/>
        <v>3.1899999999999991E-2</v>
      </c>
      <c r="F57" s="21">
        <f>F33</f>
        <v>0</v>
      </c>
      <c r="G57" s="21">
        <f>SUM(W8,W22)</f>
        <v>2.1000000000000001E-2</v>
      </c>
      <c r="H57" s="21">
        <f>H33</f>
        <v>0</v>
      </c>
      <c r="I57" s="21">
        <f>I33</f>
        <v>2.9899999999999993E-2</v>
      </c>
      <c r="J57" s="21">
        <f>J33</f>
        <v>2.9899999999999993E-2</v>
      </c>
      <c r="K57" s="21">
        <f>SUM(W9,W22)</f>
        <v>2.1000000000000001E-2</v>
      </c>
      <c r="L57" s="21">
        <f>L33</f>
        <v>0</v>
      </c>
      <c r="M57" s="21">
        <f>M33</f>
        <v>0</v>
      </c>
      <c r="N57" s="8">
        <f>SUM(W7,W21)</f>
        <v>2.5000000000000001E-2</v>
      </c>
      <c r="O57" s="8">
        <f>SUM(W10,W21)</f>
        <v>0.02</v>
      </c>
      <c r="P57" s="21">
        <f>Q56/P56</f>
        <v>-1.5520282860577174E-2</v>
      </c>
      <c r="Q57" s="14"/>
      <c r="R57" s="8">
        <f>SUM(W10,W21)</f>
        <v>0.02</v>
      </c>
    </row>
    <row r="58" spans="1:26" s="3" customFormat="1" hidden="1" x14ac:dyDescent="0.2">
      <c r="B58" s="3" t="s">
        <v>879</v>
      </c>
      <c r="C58" s="14">
        <f>C34*X19</f>
        <v>586666.66666666663</v>
      </c>
      <c r="D58" s="14">
        <f>D34*X20</f>
        <v>293333.33333333331</v>
      </c>
      <c r="E58" s="14">
        <f t="shared" si="8"/>
        <v>1333.3333333333333</v>
      </c>
      <c r="F58" s="14"/>
      <c r="G58" s="14"/>
      <c r="H58" s="14"/>
      <c r="I58" s="57">
        <f t="shared" ref="I58:I72" si="9">I34</f>
        <v>-5341666.666666667</v>
      </c>
      <c r="J58" s="57">
        <f t="shared" ref="J58:J63" si="10">J34</f>
        <v>-4666.666666666667</v>
      </c>
      <c r="K58" s="14"/>
      <c r="L58" s="14"/>
      <c r="M58" s="14"/>
      <c r="N58" s="58">
        <f>SUM(-C58,-D58)</f>
        <v>-880000</v>
      </c>
      <c r="O58" s="14">
        <f>-SUM(C58,D58,E58,I58,J58,N58)</f>
        <v>5345000.0000000009</v>
      </c>
      <c r="P58" s="23">
        <f>SUM(P56,R58)</f>
        <v>6282816.9333048202</v>
      </c>
      <c r="Q58" s="23">
        <f>SUM(S58,T58)</f>
        <v>771620.96037148731</v>
      </c>
      <c r="R58" s="23">
        <f>SUM(C58,D58,N58,Q58)</f>
        <v>771620.96037148731</v>
      </c>
      <c r="S58" s="23">
        <f>SUM((SUM(I53,-I54,-I56,-I58)*I59),(SUM(J53,-J54,-J56,-J58)*J59),(SUM(K53,-K54)*K59),(-O54*O55),(-O56*O57),(-O58*O59),(R54*R55),(R56*R57))</f>
        <v>-2212244.9729618463</v>
      </c>
      <c r="T58" s="46">
        <f>SUM((SUM(C53,-C54,-C56,-C58)*C59),(SUM(D53,-D54,-D56,-D58)*D59),(SUM(E53,-E54,-E56,-E58)*E59),(SUM(G53,-G54)*G59),(-N54*N55),(-N56*N57),(-N58*N59))</f>
        <v>2983865.9333333336</v>
      </c>
      <c r="U58" s="159"/>
    </row>
    <row r="59" spans="1:26" s="3" customFormat="1" hidden="1" x14ac:dyDescent="0.2">
      <c r="B59" s="3" t="s">
        <v>646</v>
      </c>
      <c r="C59" s="21">
        <f>C35</f>
        <v>3.0746153846153847E-2</v>
      </c>
      <c r="D59" s="21">
        <f>D35</f>
        <v>3.0746153846153847E-2</v>
      </c>
      <c r="E59" s="21">
        <f t="shared" si="8"/>
        <v>3.0746153846153847E-2</v>
      </c>
      <c r="F59" s="21">
        <f>F35</f>
        <v>0</v>
      </c>
      <c r="G59" s="21">
        <f>SUM(W8,W23)</f>
        <v>3.1E-2</v>
      </c>
      <c r="H59" s="21">
        <f>H35</f>
        <v>0</v>
      </c>
      <c r="I59" s="21">
        <f>I35</f>
        <v>2.8746153846153845E-2</v>
      </c>
      <c r="J59" s="21">
        <f t="shared" si="10"/>
        <v>2.8746153846153845E-2</v>
      </c>
      <c r="K59" s="21">
        <f>SUM(W9,W23)</f>
        <v>3.1E-2</v>
      </c>
      <c r="L59" s="21">
        <f>L35</f>
        <v>0</v>
      </c>
      <c r="M59" s="21">
        <f>M35</f>
        <v>0</v>
      </c>
      <c r="N59" s="8">
        <f>SUM(W7,W22)</f>
        <v>3.5000000000000003E-2</v>
      </c>
      <c r="O59" s="8">
        <f>SUM(W10,W22)</f>
        <v>0.03</v>
      </c>
      <c r="P59" s="21">
        <f>Q58/P58</f>
        <v>0.12281449046862607</v>
      </c>
      <c r="R59" s="8">
        <f>SUM(W10,W22)</f>
        <v>0.03</v>
      </c>
    </row>
    <row r="60" spans="1:26" s="3" customFormat="1" hidden="1" x14ac:dyDescent="0.2">
      <c r="B60" s="3" t="s">
        <v>582</v>
      </c>
      <c r="C60" s="14">
        <f>C36*X19</f>
        <v>586666.66666666663</v>
      </c>
      <c r="D60" s="14">
        <f>D36*X20</f>
        <v>293333.33333333331</v>
      </c>
      <c r="E60" s="14">
        <f t="shared" si="8"/>
        <v>1333.3333333333333</v>
      </c>
      <c r="F60" s="14"/>
      <c r="G60" s="14"/>
      <c r="H60" s="14"/>
      <c r="I60" s="57">
        <f t="shared" si="9"/>
        <v>-5341666.666666667</v>
      </c>
      <c r="J60" s="57">
        <f t="shared" si="10"/>
        <v>-4666.666666666667</v>
      </c>
      <c r="K60" s="14"/>
      <c r="L60" s="14"/>
      <c r="M60" s="14"/>
      <c r="N60" s="58">
        <f>SUM(-C60,-D60)</f>
        <v>-880000</v>
      </c>
      <c r="O60" s="14">
        <f>-SUM(C60,D60,E60,I60,J60,N60)</f>
        <v>5345000.0000000009</v>
      </c>
      <c r="P60" s="23">
        <f>SUM(P58,R60)</f>
        <v>7065965.168641299</v>
      </c>
      <c r="Q60" s="23">
        <f>SUM(S60,T60)</f>
        <v>783148.23533647833</v>
      </c>
      <c r="R60" s="23">
        <f>SUM(C60,D60,N60,Q60)</f>
        <v>783148.23533647833</v>
      </c>
      <c r="S60" s="23">
        <f>SUM((SUM(I53,-I54,-I56,-I58,-I60)*I61),(SUM(J53,-J54,-J56,-J58,-J60)*J61),(SUM(K53,-K54)*K61),(-O54*O55),(-O56*O57),(-O58*O59),(-O60*O61),(R54*R55),(R56*R57),(R58*R59))</f>
        <v>-2205328.7646635217</v>
      </c>
      <c r="T60" s="46">
        <f>SUM((SUM(C53,-C54,-C56,-C58,-C60)*C61),(SUM(D53,-D54,-D56,-D58,-D60)*D61),(SUM(E53,-E54,-E56,-E58,-E60)*E61),(SUM(G53,-G54)*G61),(-N54*N55),(-N56*N57),(-N58*N59),(-N60*N61))</f>
        <v>2988477</v>
      </c>
      <c r="U60" s="159"/>
    </row>
    <row r="61" spans="1:26" s="3" customFormat="1" hidden="1" x14ac:dyDescent="0.2">
      <c r="B61" s="3" t="s">
        <v>880</v>
      </c>
      <c r="C61" s="21">
        <f>C37</f>
        <v>0.03</v>
      </c>
      <c r="D61" s="21">
        <f>D37</f>
        <v>0.03</v>
      </c>
      <c r="E61" s="21">
        <f t="shared" si="8"/>
        <v>0.03</v>
      </c>
      <c r="F61" s="21">
        <f>F37</f>
        <v>0</v>
      </c>
      <c r="G61" s="21">
        <f>SUM(W8,W23)</f>
        <v>3.1E-2</v>
      </c>
      <c r="H61" s="21">
        <f>H37</f>
        <v>0</v>
      </c>
      <c r="I61" s="21">
        <f>I37</f>
        <v>2.7999999999999997E-2</v>
      </c>
      <c r="J61" s="21">
        <f t="shared" si="10"/>
        <v>2.7999999999999997E-2</v>
      </c>
      <c r="K61" s="21">
        <f>SUM(W9,W23)</f>
        <v>3.1E-2</v>
      </c>
      <c r="L61" s="21">
        <f>L37</f>
        <v>0</v>
      </c>
      <c r="M61" s="21">
        <f>M37</f>
        <v>0</v>
      </c>
      <c r="N61" s="8">
        <f>SUM(W7,W23)</f>
        <v>4.4999999999999998E-2</v>
      </c>
      <c r="O61" s="8">
        <f>SUM(W10,W23)</f>
        <v>0.04</v>
      </c>
      <c r="P61" s="21">
        <f>Q60/P60</f>
        <v>0.11083386581242778</v>
      </c>
      <c r="R61" s="8">
        <f>SUM($W$10,$W$23)</f>
        <v>0.04</v>
      </c>
    </row>
    <row r="62" spans="1:26" s="3" customFormat="1" hidden="1" x14ac:dyDescent="0.2">
      <c r="B62" s="3" t="s">
        <v>647</v>
      </c>
      <c r="C62" s="14">
        <f>C38*X19</f>
        <v>586666.66666666663</v>
      </c>
      <c r="D62" s="14">
        <f>D38*X20</f>
        <v>293333.33333333331</v>
      </c>
      <c r="E62" s="14">
        <f t="shared" ref="E62:E73" si="11">E38</f>
        <v>1333.3333333333333</v>
      </c>
      <c r="F62" s="14"/>
      <c r="G62" s="14"/>
      <c r="H62" s="14"/>
      <c r="I62" s="57">
        <f t="shared" si="9"/>
        <v>-5341666.666666667</v>
      </c>
      <c r="J62" s="57">
        <f t="shared" si="10"/>
        <v>-4666.666666666667</v>
      </c>
      <c r="K62" s="14"/>
      <c r="L62" s="14"/>
      <c r="M62" s="14"/>
      <c r="N62" s="58">
        <f>SUM(-C62,-D62)</f>
        <v>-880000</v>
      </c>
      <c r="O62" s="14">
        <f>-SUM(C62,D62,E62,I62,J62,N62)</f>
        <v>5345000.0000000009</v>
      </c>
      <c r="P62" s="23">
        <f>SUM(P60,R62)</f>
        <v>7884406.4485427514</v>
      </c>
      <c r="Q62" s="24">
        <f>SUM(S62,T62)</f>
        <v>818441.27990145236</v>
      </c>
      <c r="R62" s="23">
        <f>SUM(C62,D62,N62,Q62)</f>
        <v>818441.27990145236</v>
      </c>
      <c r="S62" s="23">
        <f>SUM((SUM(I53,-I54,-I56,-I58,-I60,-I62)*I63),(SUM(J53,-J54,-J56,-J58,-J60,-J62)*J63),(SUM(K53,-K54)*K63),(-O54*O55),(-O56*O57),(-O58*O59),(-O60*O61),(-O62*O63),(R54*R55),(R56*R57),(R58*R59),(R60*R61))</f>
        <v>-2171033.3200985477</v>
      </c>
      <c r="T62" s="46">
        <f>SUM((SUM(C53,-C54,-C56,-C58,-C60,-C62)*C63),(SUM(D53,-D54,-D56,-D58,-D60,-D62)*D63),(SUM(E53,-E54,-E56,-E58,-E60,-E62)*E63),(SUM(G53,-G54)*G63),(-N54*N55),(-N56*N57),(-N58*N59),(-N60*N61),(-N62*N63))</f>
        <v>2989474.6</v>
      </c>
      <c r="U62" s="159"/>
    </row>
    <row r="63" spans="1:26" s="3" customFormat="1" hidden="1" x14ac:dyDescent="0.2">
      <c r="B63" s="3" t="s">
        <v>583</v>
      </c>
      <c r="C63" s="21">
        <f>C39</f>
        <v>2.8745454545454546E-2</v>
      </c>
      <c r="D63" s="21">
        <f>D39</f>
        <v>2.8745454545454546E-2</v>
      </c>
      <c r="E63" s="21">
        <f t="shared" si="11"/>
        <v>2.8745454545454546E-2</v>
      </c>
      <c r="F63" s="21">
        <f>F39</f>
        <v>0</v>
      </c>
      <c r="G63" s="21">
        <f>SUM(W8,W23)</f>
        <v>3.1E-2</v>
      </c>
      <c r="H63" s="21">
        <f>H39</f>
        <v>0</v>
      </c>
      <c r="I63" s="21">
        <f>I39</f>
        <v>2.6745454545454544E-2</v>
      </c>
      <c r="J63" s="21">
        <f t="shared" si="10"/>
        <v>2.6745454545454544E-2</v>
      </c>
      <c r="K63" s="21">
        <f>SUM(W9,W23)</f>
        <v>3.1E-2</v>
      </c>
      <c r="L63" s="21">
        <f>L39</f>
        <v>0</v>
      </c>
      <c r="M63" s="21">
        <f>M39</f>
        <v>0</v>
      </c>
      <c r="N63" s="8">
        <f>SUM(W7,W23)</f>
        <v>4.4999999999999998E-2</v>
      </c>
      <c r="O63" s="8">
        <f>SUM(W10,W23)</f>
        <v>0.04</v>
      </c>
      <c r="P63" s="21">
        <f>Q62/P62</f>
        <v>0.10380505942241501</v>
      </c>
      <c r="R63" s="8">
        <f>SUM($W$10,$W$23)</f>
        <v>0.04</v>
      </c>
    </row>
    <row r="64" spans="1:26" s="3" customFormat="1" hidden="1" x14ac:dyDescent="0.2">
      <c r="B64" s="3" t="s">
        <v>881</v>
      </c>
      <c r="C64" s="14">
        <f>C40*X19</f>
        <v>586666.66666666663</v>
      </c>
      <c r="D64" s="14">
        <f>D40*X20</f>
        <v>293333.33333333331</v>
      </c>
      <c r="E64" s="14">
        <f t="shared" si="11"/>
        <v>1333.3333333333333</v>
      </c>
      <c r="F64" s="14"/>
      <c r="G64" s="14"/>
      <c r="H64" s="14"/>
      <c r="I64" s="57">
        <f t="shared" si="9"/>
        <v>-5341666.666666667</v>
      </c>
      <c r="J64" s="57">
        <f t="shared" ref="J64:J73" si="12">J40</f>
        <v>-4666.666666666667</v>
      </c>
      <c r="K64" s="14"/>
      <c r="L64" s="14"/>
      <c r="M64" s="14"/>
      <c r="N64" s="58">
        <f>SUM(-C64,-D64)</f>
        <v>-880000</v>
      </c>
      <c r="O64" s="14">
        <f>-SUM(C64,D64,E64,I64,J64,N64)</f>
        <v>5345000.0000000009</v>
      </c>
      <c r="P64" s="23">
        <f>SUM(P62,R64)</f>
        <v>8758255.9211554136</v>
      </c>
      <c r="Q64" s="24">
        <f>SUM(S64,T64)</f>
        <v>873849.47261266178</v>
      </c>
      <c r="R64" s="23">
        <f>SUM(C64,D64,N64,Q64)</f>
        <v>873849.47261266178</v>
      </c>
      <c r="S64" s="23">
        <f>SUM((SUM(I53,-I54,-I56,-I58,-I60,-I62,-I64)*I65),(SUM(J53,-J54,-J56,-J58,-J60,-J62,-J64)*J65),(SUM(K53,-K54)*K65),(-O54*O55),(-O56*O57),(-O58*O59),(-O60*O61),(-O62*O63),(-O64*O65),(R54*R55),(R56*R57),(R58*R59),(R60*R61),(R62*R63))</f>
        <v>-2112127.9273873381</v>
      </c>
      <c r="T64" s="46">
        <f>SUM((SUM(C53,-C54,-C56,-C58,-C60,-C62,-C64)*C65),(SUM(D53,-D54,-D56,-D58,-D60,-D62,-D64)*D65),(SUM(E53,-E54,-E56,-E58,-E60,-E62,-E64)*E65),(SUM(G53,-G54)*G65),(-N54*N55),(-N56*N57),(-N58*N59),(-N60*N61),(-N62*N63),(-N64*N65))</f>
        <v>2985977.4</v>
      </c>
      <c r="U64" s="159"/>
    </row>
    <row r="65" spans="2:26" s="3" customFormat="1" hidden="1" x14ac:dyDescent="0.2">
      <c r="B65" s="3" t="s">
        <v>648</v>
      </c>
      <c r="C65" s="21">
        <f>C41</f>
        <v>2.6730000000000004E-2</v>
      </c>
      <c r="D65" s="21">
        <f>D41</f>
        <v>2.6730000000000004E-2</v>
      </c>
      <c r="E65" s="21">
        <f t="shared" si="11"/>
        <v>2.6730000000000004E-2</v>
      </c>
      <c r="F65" s="21">
        <f>F41</f>
        <v>0</v>
      </c>
      <c r="G65" s="21">
        <f>SUM(W8,W23)</f>
        <v>3.1E-2</v>
      </c>
      <c r="H65" s="21">
        <f>H41</f>
        <v>0</v>
      </c>
      <c r="I65" s="21">
        <f>I41</f>
        <v>2.4730000000000002E-2</v>
      </c>
      <c r="J65" s="21">
        <f t="shared" si="12"/>
        <v>2.4730000000000002E-2</v>
      </c>
      <c r="K65" s="21">
        <f>SUM(W9,W23)</f>
        <v>3.1E-2</v>
      </c>
      <c r="L65" s="21">
        <f>L41</f>
        <v>0</v>
      </c>
      <c r="M65" s="21">
        <f>M41</f>
        <v>0</v>
      </c>
      <c r="N65" s="8">
        <f>SUM(W7,W23)</f>
        <v>4.4999999999999998E-2</v>
      </c>
      <c r="O65" s="8">
        <f>SUM(W10,W23)</f>
        <v>0.04</v>
      </c>
      <c r="P65" s="21">
        <f>Q64/P64</f>
        <v>9.9774370660018472E-2</v>
      </c>
      <c r="R65" s="8">
        <f>SUM($W$10,$W$23)</f>
        <v>0.04</v>
      </c>
    </row>
    <row r="66" spans="2:26" s="3" customFormat="1" hidden="1" x14ac:dyDescent="0.2">
      <c r="B66" s="3" t="s">
        <v>882</v>
      </c>
      <c r="C66" s="14">
        <f>C42*X19</f>
        <v>586666.66666666663</v>
      </c>
      <c r="D66" s="14">
        <f>D42*X20</f>
        <v>293333.33333333331</v>
      </c>
      <c r="E66" s="14">
        <f t="shared" si="11"/>
        <v>1333.3333333333333</v>
      </c>
      <c r="F66" s="14"/>
      <c r="G66" s="14"/>
      <c r="H66" s="14"/>
      <c r="I66" s="57">
        <f t="shared" si="9"/>
        <v>-5341666.666666667</v>
      </c>
      <c r="J66" s="57">
        <f t="shared" si="12"/>
        <v>-4666.666666666667</v>
      </c>
      <c r="K66" s="14"/>
      <c r="L66" s="14"/>
      <c r="M66" s="14"/>
      <c r="N66" s="58">
        <f>SUM(-C66,-D66)</f>
        <v>-880000</v>
      </c>
      <c r="O66" s="14">
        <f>-SUM(C66,D66,E66,I66,J66,N66)</f>
        <v>5345000.0000000009</v>
      </c>
      <c r="P66" s="23">
        <f>SUM(P64,R66)</f>
        <v>9685012.8271170259</v>
      </c>
      <c r="Q66" s="24">
        <f>SUM(S66,T66)</f>
        <v>926756.90596161271</v>
      </c>
      <c r="R66" s="23">
        <f>SUM(C66,D66,N66,Q66)</f>
        <v>926756.90596161271</v>
      </c>
      <c r="S66" s="23">
        <f>SUM((SUM(I53,-I54,-I56,-I58,-I60,-I62,-I64,-I66)*I67),(SUM(J53,-J54,-J56,-J58,-J60,-J62,-J64,-J66)*J67),(SUM(K53,-K54)*K67),(-O54*O55),(-O56*O57),(-O58*O59),(-O60*O61),(-O62*O63),(-O64*O65),(-O66*O67),(R54*R55),(R56*R57),(R58*R59),(R60*R61),(R62*R63),(R64*R65))</f>
        <v>-2056252.0940383873</v>
      </c>
      <c r="T66" s="46">
        <f>SUM((SUM(C53,-C54,-C56,-C58,-C60,-C62,-C64,-C66)*C67),(SUM(D53,-D54,-D56,-D58,-D60,-D62,-D64,-D66)*D67),(SUM(E53,-E54,-E56,-E58,-E60,-E62,-E64,-E66)*E67),(SUM(G53,-G54)*G67),(-N54*N55),(-N56*N57),(-N58*N59),(-N60*N61),(-N62*N63),(-N64*N65),(-N66*N67))</f>
        <v>2983009</v>
      </c>
      <c r="U66" s="158"/>
    </row>
    <row r="67" spans="2:26" s="3" customFormat="1" hidden="1" x14ac:dyDescent="0.2">
      <c r="B67" s="3" t="s">
        <v>883</v>
      </c>
      <c r="C67" s="21">
        <f>C43</f>
        <v>2.4333333333333332E-2</v>
      </c>
      <c r="D67" s="21">
        <f>D43</f>
        <v>2.4333333333333332E-2</v>
      </c>
      <c r="E67" s="21">
        <f t="shared" si="11"/>
        <v>2.4333333333333332E-2</v>
      </c>
      <c r="F67" s="21">
        <f>F43</f>
        <v>0</v>
      </c>
      <c r="G67" s="21">
        <f>SUM(W8,W23)</f>
        <v>3.1E-2</v>
      </c>
      <c r="H67" s="21">
        <f>H43</f>
        <v>0</v>
      </c>
      <c r="I67" s="21">
        <f>I43</f>
        <v>2.2333333333333334E-2</v>
      </c>
      <c r="J67" s="21">
        <f t="shared" si="12"/>
        <v>2.2333333333333334E-2</v>
      </c>
      <c r="K67" s="21">
        <f>SUM(W9,W23)</f>
        <v>3.1E-2</v>
      </c>
      <c r="L67" s="21">
        <f>L43</f>
        <v>0</v>
      </c>
      <c r="M67" s="21">
        <f>M43</f>
        <v>0</v>
      </c>
      <c r="N67" s="8">
        <f>SUM(W7,W23)</f>
        <v>4.4999999999999998E-2</v>
      </c>
      <c r="O67" s="8">
        <f>SUM(W10,W23)</f>
        <v>0.04</v>
      </c>
      <c r="P67" s="21">
        <f>Q66/P66</f>
        <v>9.5689796441651584E-2</v>
      </c>
      <c r="R67" s="8">
        <f>SUM($W$10,$W$23)</f>
        <v>0.04</v>
      </c>
    </row>
    <row r="68" spans="2:26" s="3" customFormat="1" hidden="1" x14ac:dyDescent="0.2">
      <c r="B68" s="3" t="s">
        <v>584</v>
      </c>
      <c r="C68" s="14">
        <f>C44*X19</f>
        <v>586666.66666666663</v>
      </c>
      <c r="D68" s="14">
        <f>D44*X20</f>
        <v>293333.33333333331</v>
      </c>
      <c r="E68" s="14">
        <f t="shared" si="11"/>
        <v>1333.3333333333333</v>
      </c>
      <c r="F68" s="14"/>
      <c r="G68" s="14"/>
      <c r="H68" s="14"/>
      <c r="I68" s="57">
        <f t="shared" si="9"/>
        <v>-5341666.666666667</v>
      </c>
      <c r="J68" s="57">
        <f t="shared" si="12"/>
        <v>-4666.666666666667</v>
      </c>
      <c r="K68" s="14"/>
      <c r="L68" s="14"/>
      <c r="M68" s="14"/>
      <c r="N68" s="58">
        <f>SUM(-C68,-D68)</f>
        <v>-880000</v>
      </c>
      <c r="O68" s="14">
        <f>-SUM(C68,D68,E68,I68,J68,N68)</f>
        <v>5345000.0000000009</v>
      </c>
      <c r="P68" s="23">
        <f>SUM(P66,R68)</f>
        <v>10643087.894039325</v>
      </c>
      <c r="Q68" s="24">
        <f>SUM(S68,T68)</f>
        <v>958075.0669222991</v>
      </c>
      <c r="R68" s="23">
        <f>SUM(C68,D68,N68,Q68)</f>
        <v>958075.0669222991</v>
      </c>
      <c r="S68" s="23">
        <f>SUM((SUM(I53,-I54,-I56,-I58,-I60,-I62,-I64,-I66,-I68)*I69),(SUM(J53,-J54,-J56,-J58,-J60,-J62,-J64,-J66,-J68)*J69),(SUM(K53,-K54)*K69),(-O54*O55),(-O56*O57),(-O58*O59),(-O60*O61),(-O62*O63),(-O64*O65),(-O66*O67),(-O68*O69),(R54*R55),(R56*R57),(R58*R59),(R60*R61),(R62*R63),(R64*R65),(R66*R67))</f>
        <v>-2026724.7330777007</v>
      </c>
      <c r="T68" s="46">
        <f>SUM((SUM(C53,-C54,-C56,-C58,-C60,-C62,-C64,-C66,-C68)*C69),(SUM(D53,-D54,-D56,-D58,-D60,-D62,-D64,-D66,-D68)*D69),(SUM(E53,-E54,-E56,-E58,-E60,-E62,-E64,-E66,-E68)*E69),(SUM(G53,-G54)*G69),(-N54*N55),(-N56*N57),(-N58*N59),(-N60*N61),(-N62*N63),(-N64*N65),(-N66*N67),(-N68*N69))</f>
        <v>2984799.8</v>
      </c>
      <c r="U68" s="159"/>
    </row>
    <row r="69" spans="2:26" s="3" customFormat="1" hidden="1" x14ac:dyDescent="0.2">
      <c r="B69" s="3" t="s">
        <v>585</v>
      </c>
      <c r="C69" s="21">
        <f>C45</f>
        <v>2.2012499999999997E-2</v>
      </c>
      <c r="D69" s="21">
        <f>D45</f>
        <v>2.2012499999999997E-2</v>
      </c>
      <c r="E69" s="21">
        <f t="shared" si="11"/>
        <v>2.2012499999999997E-2</v>
      </c>
      <c r="F69" s="21">
        <f>F45</f>
        <v>0</v>
      </c>
      <c r="G69" s="21">
        <f>SUM(W8,W23)</f>
        <v>3.1E-2</v>
      </c>
      <c r="H69" s="21">
        <f>H45</f>
        <v>0</v>
      </c>
      <c r="I69" s="21">
        <f>I45</f>
        <v>2.0012499999999996E-2</v>
      </c>
      <c r="J69" s="21">
        <f t="shared" si="12"/>
        <v>2.0012499999999996E-2</v>
      </c>
      <c r="K69" s="21">
        <f>SUM(W9,W23)</f>
        <v>3.1E-2</v>
      </c>
      <c r="L69" s="21">
        <f>L45</f>
        <v>0</v>
      </c>
      <c r="M69" s="21">
        <f>M45</f>
        <v>0</v>
      </c>
      <c r="N69" s="8">
        <f>SUM(W7,W23)</f>
        <v>4.4999999999999998E-2</v>
      </c>
      <c r="O69" s="8">
        <f>SUM(W10,W23)</f>
        <v>0.04</v>
      </c>
      <c r="P69" s="21">
        <f>Q68/P68</f>
        <v>9.0018524366304462E-2</v>
      </c>
      <c r="R69" s="8">
        <f>SUM($W$10,$W$23)</f>
        <v>0.04</v>
      </c>
    </row>
    <row r="70" spans="2:26" s="3" customFormat="1" hidden="1" x14ac:dyDescent="0.2">
      <c r="B70" s="3" t="s">
        <v>649</v>
      </c>
      <c r="C70" s="14">
        <f>C46*X19</f>
        <v>586666.66666666663</v>
      </c>
      <c r="D70" s="14">
        <f>D46*X20</f>
        <v>293333.33333333331</v>
      </c>
      <c r="E70" s="14">
        <f t="shared" si="11"/>
        <v>1333.3333333333333</v>
      </c>
      <c r="F70" s="14"/>
      <c r="G70" s="14"/>
      <c r="H70" s="14"/>
      <c r="I70" s="57">
        <f t="shared" si="9"/>
        <v>-5341666.666666667</v>
      </c>
      <c r="J70" s="57">
        <f t="shared" si="12"/>
        <v>-4666.666666666667</v>
      </c>
      <c r="K70" s="14"/>
      <c r="L70" s="14"/>
      <c r="M70" s="14"/>
      <c r="N70" s="58">
        <f>SUM(-C70,-D70)</f>
        <v>-880000</v>
      </c>
      <c r="O70" s="14">
        <f>-SUM(C70,D70,E70,I70,J70,N70)</f>
        <v>5345000.0000000009</v>
      </c>
      <c r="P70" s="23">
        <f>SUM(P68,R70)</f>
        <v>11604280.053519469</v>
      </c>
      <c r="Q70" s="24">
        <f>SUM(S70,T70)</f>
        <v>961192.15948014334</v>
      </c>
      <c r="R70" s="23">
        <f>SUM(C70,D70,N70,Q70)</f>
        <v>961192.15948014334</v>
      </c>
      <c r="S70" s="23">
        <f>SUM((SUM(I53,-I54,-I56,-I58,-I60,-I62,-I64,-I66,-I68,-I70)*I71),(SUM(J53,-J54,-J56,-J58,-J60,-J62,-J64,-J66,-J68,-J70)*J71),(SUM(K53,-K54)*K71),(-O54*O55),(-O56*O57),(-O58*O59),(-O60*O61),(-O62*O63),(-O64*O65),(-O66*O67),(-O68*O69),(-O70*O71),(R54*R55),(R56*R57),(R58*R59),(R60*R61),(R62*R63),(R64*R65),(R66*R67),(R68*R69))</f>
        <v>-2031567.7738531898</v>
      </c>
      <c r="T70" s="46">
        <f>SUM((SUM(C53,-C54,-C56,-C58,-C60,-C62,-C64,-C66,-C68,-C70)*C71),(SUM(D53,-D54,-D56,-D58,-D60,-D62,-D64,-D66,-D68,-D70)*D71),(SUM(E53,-E54,-E56,-E58,-E60,-E62,-E64,-E66,-E68,-E70)*E71),(SUM(G53,-G54)*G71),(-N54*N55),(-N56*N57),(-N58*N59),(-N60*N61),(-N62*N63),(-N64*N65),(-N66*N67),(-N68*N69),(-N70*N71))</f>
        <v>2992759.9333333331</v>
      </c>
      <c r="U70" s="159"/>
    </row>
    <row r="71" spans="2:26" s="3" customFormat="1" hidden="1" x14ac:dyDescent="0.2">
      <c r="B71" s="3" t="s">
        <v>650</v>
      </c>
      <c r="C71" s="21">
        <f>C47</f>
        <v>2.0028571428571423E-2</v>
      </c>
      <c r="D71" s="21">
        <f>D47</f>
        <v>2.0028571428571423E-2</v>
      </c>
      <c r="E71" s="21">
        <f t="shared" si="11"/>
        <v>2.0028571428571423E-2</v>
      </c>
      <c r="F71" s="21">
        <f>F47</f>
        <v>0</v>
      </c>
      <c r="G71" s="21">
        <f>SUM(W8,W23)</f>
        <v>3.1E-2</v>
      </c>
      <c r="H71" s="21">
        <f>H47</f>
        <v>0</v>
      </c>
      <c r="I71" s="21">
        <f>I47</f>
        <v>1.8028571428571425E-2</v>
      </c>
      <c r="J71" s="21">
        <f t="shared" si="12"/>
        <v>1.8028571428571425E-2</v>
      </c>
      <c r="K71" s="21">
        <f>SUM(W9,W23)</f>
        <v>3.1E-2</v>
      </c>
      <c r="L71" s="21">
        <f>L47</f>
        <v>0</v>
      </c>
      <c r="M71" s="21">
        <f>M47</f>
        <v>0</v>
      </c>
      <c r="N71" s="8">
        <f>SUM(W7,W23)</f>
        <v>4.4999999999999998E-2</v>
      </c>
      <c r="O71" s="8">
        <f>SUM(W10,W23)</f>
        <v>0.04</v>
      </c>
      <c r="P71" s="21">
        <f>Q70/P70</f>
        <v>8.2830830956085275E-2</v>
      </c>
      <c r="R71" s="8">
        <f>SUM($W$10,$W$23)</f>
        <v>0.04</v>
      </c>
    </row>
    <row r="72" spans="2:26" s="3" customFormat="1" hidden="1" x14ac:dyDescent="0.2">
      <c r="B72" s="3" t="s">
        <v>884</v>
      </c>
      <c r="C72" s="14">
        <f>C48*X19</f>
        <v>586666.66666666663</v>
      </c>
      <c r="D72" s="14">
        <f>D48*X20</f>
        <v>293333.33333333331</v>
      </c>
      <c r="E72" s="14">
        <f t="shared" si="11"/>
        <v>1333.3333333333333</v>
      </c>
      <c r="I72" s="57">
        <f t="shared" si="9"/>
        <v>-5341666.666666667</v>
      </c>
      <c r="J72" s="57">
        <f t="shared" si="12"/>
        <v>-4666.666666666667</v>
      </c>
      <c r="N72" s="58">
        <f>SUM(-C72,-D72)</f>
        <v>-880000</v>
      </c>
      <c r="O72" s="14">
        <f>-SUM(C72,D72,E72,I72,J72,N72)</f>
        <v>5345000.0000000009</v>
      </c>
      <c r="P72" s="23">
        <f>SUM(P70,R72)</f>
        <v>12564821.013664532</v>
      </c>
      <c r="Q72" s="24">
        <f>SUM(S72,T72)</f>
        <v>960540.9601450637</v>
      </c>
      <c r="R72" s="23">
        <f>SUM(C72,D72,N72,Q72)</f>
        <v>960540.9601450637</v>
      </c>
      <c r="S72" s="23">
        <f>SUM((SUM(I53,-I54,-I56,-I58,-I60,-I62,-I64,-I66,-I68,-I70,-I72)*I73),(SUM(J53,-J54,-J56,-J58,-J60,-J62,-J64,-J66,-J68,-J70,-J72)*J73),(SUM(K53,-K54)*K73),(-O54*O55),(-O56*O57),(-O58*O59),(-O60*O61),(-O62*O63),(-O64*O65),(-O66*O67),(-O68*O69),(-O70*O71),(-O72*O73),(R54*R55),(R56*R57),(R58*R59),(R60*R61),(R62*R63),(R64*R65),(R66*R67),(R68*R69),(R70*R71))</f>
        <v>-2040267.2398549365</v>
      </c>
      <c r="T72" s="46">
        <f>SUM((SUM(C53,-C54,-C56,-C58,-C60,-C62,-C64,-C66,-C68,-C70,-C72)*C73),(SUM(D53,-D54,-D56,-D58,-D60,-D62,-D64,-D66,-D68,-D70,-D72)*D73),(SUM(E53,-E54,-E56,-E58,-E60,-E62,-E64,-E66,-E68,-E70,-E72)*E73),(SUM(G53,-G54)*G73),(-N54*N55),(-N56*N57),(-N58*N59),(-N60*N61),(-N62*N63),(-N64*N65),(-N66*N67),(-N68*N69),(-N70*N71),(-N72*N73))</f>
        <v>3000808.2</v>
      </c>
      <c r="U72" s="158"/>
    </row>
    <row r="73" spans="2:26" s="3" customFormat="1" hidden="1" x14ac:dyDescent="0.2">
      <c r="B73" s="3" t="s">
        <v>885</v>
      </c>
      <c r="C73" s="21">
        <f>C49</f>
        <v>1.7399999999999999E-2</v>
      </c>
      <c r="D73" s="21">
        <f>D49</f>
        <v>1.7399999999999999E-2</v>
      </c>
      <c r="E73" s="21">
        <f t="shared" si="11"/>
        <v>1.7399999999999999E-2</v>
      </c>
      <c r="F73" s="21">
        <f>F49</f>
        <v>0</v>
      </c>
      <c r="G73" s="21">
        <f>SUM(W8,W23)</f>
        <v>3.1E-2</v>
      </c>
      <c r="H73" s="21">
        <f>H49</f>
        <v>0</v>
      </c>
      <c r="I73" s="21">
        <f>I49</f>
        <v>1.5399999999999999E-2</v>
      </c>
      <c r="J73" s="21">
        <f t="shared" si="12"/>
        <v>1.5399999999999999E-2</v>
      </c>
      <c r="K73" s="21">
        <f>SUM(W9,W23)</f>
        <v>3.1E-2</v>
      </c>
      <c r="L73" s="21">
        <f>L49</f>
        <v>0</v>
      </c>
      <c r="M73" s="21">
        <f>M49</f>
        <v>0</v>
      </c>
      <c r="N73" s="8">
        <f>SUM(W7,W23)</f>
        <v>4.4999999999999998E-2</v>
      </c>
      <c r="O73" s="8">
        <f>SUM(W10,W23)</f>
        <v>0.04</v>
      </c>
      <c r="P73" s="21">
        <f>Q72/P72</f>
        <v>7.6446847838138987E-2</v>
      </c>
      <c r="R73" s="8">
        <f>SUM($W$10,$W$23)</f>
        <v>0.04</v>
      </c>
    </row>
    <row r="74" spans="2:26" x14ac:dyDescent="0.2">
      <c r="C74" s="4"/>
      <c r="D74" s="4"/>
      <c r="E74" s="10"/>
      <c r="F74" s="20"/>
      <c r="G74" s="20"/>
      <c r="H74" s="20"/>
      <c r="I74" s="10"/>
      <c r="J74" s="10"/>
      <c r="K74" s="4"/>
      <c r="L74" s="20"/>
      <c r="M74" s="20"/>
      <c r="N74" s="8"/>
      <c r="O74" s="8"/>
      <c r="P74" s="7"/>
      <c r="V74" s="45"/>
      <c r="Z74" s="3"/>
    </row>
  </sheetData>
  <sheetProtection algorithmName="SHA-512" hashValue="PXC4C1judjxh6Xlqvxo6jSsG4X6WNt9Z3Y8cfpl/lmquD4J+iubPIrEQ99fu6e2c70udk/nIoPkAy6JQtaVz7A==" saltValue="RsrYS0hmDtPhPGMkTBi/cw==" spinCount="100000" sheet="1" objects="1" scenarios="1" selectLockedCells="1"/>
  <customSheetViews>
    <customSheetView guid="{B41B624D-DA5C-4FA3-85F1-D5B8087B6A65}">
      <pageMargins left="0.7" right="0.7" top="0.75" bottom="0.75" header="0.3" footer="0.3"/>
    </customSheetView>
  </customSheetViews>
  <mergeCells count="1">
    <mergeCell ref="A1:B1"/>
  </mergeCells>
  <conditionalFormatting sqref="F8">
    <cfRule type="cellIs" dxfId="698" priority="1239" operator="greaterThan">
      <formula>0</formula>
    </cfRule>
    <cfRule type="cellIs" dxfId="697" priority="1245" operator="greaterThan">
      <formula>0</formula>
    </cfRule>
    <cfRule type="cellIs" dxfId="696" priority="1247" operator="greaterThan">
      <formula>" € - "</formula>
    </cfRule>
  </conditionalFormatting>
  <conditionalFormatting sqref="C10 C12 C14 C16 C18 C20 C22 C24 I32:J32 J30 I48:J48 I34:J34 I36:J36 I38:J38 I40:J40 I42:J42 I44:J44 I46:J46 L29 C8">
    <cfRule type="cellIs" dxfId="695" priority="1236" operator="greaterThan">
      <formula>0</formula>
    </cfRule>
  </conditionalFormatting>
  <conditionalFormatting sqref="I30">
    <cfRule type="cellIs" dxfId="694" priority="1171" operator="greaterThan">
      <formula>0</formula>
    </cfRule>
    <cfRule type="cellIs" dxfId="693" priority="1172" operator="greaterThan">
      <formula>0</formula>
    </cfRule>
  </conditionalFormatting>
  <conditionalFormatting sqref="E8">
    <cfRule type="cellIs" dxfId="692" priority="1095" operator="greaterThan">
      <formula>0</formula>
    </cfRule>
    <cfRule type="cellIs" dxfId="691" priority="1096" operator="greaterThan">
      <formula>0</formula>
    </cfRule>
    <cfRule type="cellIs" dxfId="690" priority="1097" operator="greaterThan">
      <formula>" € - "</formula>
    </cfRule>
  </conditionalFormatting>
  <conditionalFormatting sqref="E8">
    <cfRule type="cellIs" dxfId="689" priority="1093" operator="greaterThan">
      <formula>0</formula>
    </cfRule>
    <cfRule type="cellIs" dxfId="688" priority="1094" operator="greaterThan">
      <formula>" € - "</formula>
    </cfRule>
  </conditionalFormatting>
  <conditionalFormatting sqref="E8">
    <cfRule type="cellIs" dxfId="687" priority="1088" operator="greaterThan">
      <formula>0</formula>
    </cfRule>
    <cfRule type="cellIs" dxfId="686" priority="1089" operator="greaterThan">
      <formula>0</formula>
    </cfRule>
    <cfRule type="cellIs" dxfId="685" priority="1090" operator="greaterThan">
      <formula>0</formula>
    </cfRule>
    <cfRule type="cellIs" dxfId="684" priority="1091" operator="greaterThan">
      <formula>0</formula>
    </cfRule>
    <cfRule type="cellIs" dxfId="683" priority="1092" operator="greaterThan">
      <formula>0</formula>
    </cfRule>
  </conditionalFormatting>
  <conditionalFormatting sqref="E8">
    <cfRule type="cellIs" dxfId="682" priority="1087" operator="greaterThan">
      <formula>0</formula>
    </cfRule>
  </conditionalFormatting>
  <conditionalFormatting sqref="E10">
    <cfRule type="cellIs" dxfId="681" priority="1084" operator="greaterThan">
      <formula>0</formula>
    </cfRule>
    <cfRule type="cellIs" dxfId="680" priority="1085" operator="greaterThan">
      <formula>0</formula>
    </cfRule>
    <cfRule type="cellIs" dxfId="679" priority="1086" operator="greaterThan">
      <formula>" € - "</formula>
    </cfRule>
  </conditionalFormatting>
  <conditionalFormatting sqref="E10">
    <cfRule type="cellIs" dxfId="678" priority="1082" operator="greaterThan">
      <formula>0</formula>
    </cfRule>
    <cfRule type="cellIs" dxfId="677" priority="1083" operator="greaterThan">
      <formula>" € - "</formula>
    </cfRule>
  </conditionalFormatting>
  <conditionalFormatting sqref="E10">
    <cfRule type="cellIs" dxfId="676" priority="1077" operator="greaterThan">
      <formula>0</formula>
    </cfRule>
    <cfRule type="cellIs" dxfId="675" priority="1078" operator="greaterThan">
      <formula>0</formula>
    </cfRule>
    <cfRule type="cellIs" dxfId="674" priority="1079" operator="greaterThan">
      <formula>0</formula>
    </cfRule>
    <cfRule type="cellIs" dxfId="673" priority="1080" operator="greaterThan">
      <formula>0</formula>
    </cfRule>
    <cfRule type="cellIs" dxfId="672" priority="1081" operator="greaterThan">
      <formula>0</formula>
    </cfRule>
  </conditionalFormatting>
  <conditionalFormatting sqref="E10">
    <cfRule type="cellIs" dxfId="671" priority="1076" operator="greaterThan">
      <formula>0</formula>
    </cfRule>
  </conditionalFormatting>
  <conditionalFormatting sqref="E12">
    <cfRule type="cellIs" dxfId="670" priority="1073" operator="greaterThan">
      <formula>0</formula>
    </cfRule>
    <cfRule type="cellIs" dxfId="669" priority="1074" operator="greaterThan">
      <formula>0</formula>
    </cfRule>
    <cfRule type="cellIs" dxfId="668" priority="1075" operator="greaterThan">
      <formula>" € - "</formula>
    </cfRule>
  </conditionalFormatting>
  <conditionalFormatting sqref="E12">
    <cfRule type="cellIs" dxfId="667" priority="1071" operator="greaterThan">
      <formula>0</formula>
    </cfRule>
    <cfRule type="cellIs" dxfId="666" priority="1072" operator="greaterThan">
      <formula>" € - "</formula>
    </cfRule>
  </conditionalFormatting>
  <conditionalFormatting sqref="E12">
    <cfRule type="cellIs" dxfId="665" priority="1066" operator="greaterThan">
      <formula>0</formula>
    </cfRule>
    <cfRule type="cellIs" dxfId="664" priority="1067" operator="greaterThan">
      <formula>0</formula>
    </cfRule>
    <cfRule type="cellIs" dxfId="663" priority="1068" operator="greaterThan">
      <formula>0</formula>
    </cfRule>
    <cfRule type="cellIs" dxfId="662" priority="1069" operator="greaterThan">
      <formula>0</formula>
    </cfRule>
    <cfRule type="cellIs" dxfId="661" priority="1070" operator="greaterThan">
      <formula>0</formula>
    </cfRule>
  </conditionalFormatting>
  <conditionalFormatting sqref="E12">
    <cfRule type="cellIs" dxfId="660" priority="1065" operator="greaterThan">
      <formula>0</formula>
    </cfRule>
  </conditionalFormatting>
  <conditionalFormatting sqref="E14">
    <cfRule type="cellIs" dxfId="659" priority="1062" operator="greaterThan">
      <formula>0</formula>
    </cfRule>
    <cfRule type="cellIs" dxfId="658" priority="1063" operator="greaterThan">
      <formula>0</formula>
    </cfRule>
    <cfRule type="cellIs" dxfId="657" priority="1064" operator="greaterThan">
      <formula>" € - "</formula>
    </cfRule>
  </conditionalFormatting>
  <conditionalFormatting sqref="E14">
    <cfRule type="cellIs" dxfId="656" priority="1060" operator="greaterThan">
      <formula>0</formula>
    </cfRule>
    <cfRule type="cellIs" dxfId="655" priority="1061" operator="greaterThan">
      <formula>" € - "</formula>
    </cfRule>
  </conditionalFormatting>
  <conditionalFormatting sqref="E14">
    <cfRule type="cellIs" dxfId="654" priority="1055" operator="greaterThan">
      <formula>0</formula>
    </cfRule>
    <cfRule type="cellIs" dxfId="653" priority="1056" operator="greaterThan">
      <formula>0</formula>
    </cfRule>
    <cfRule type="cellIs" dxfId="652" priority="1057" operator="greaterThan">
      <formula>0</formula>
    </cfRule>
    <cfRule type="cellIs" dxfId="651" priority="1058" operator="greaterThan">
      <formula>0</formula>
    </cfRule>
    <cfRule type="cellIs" dxfId="650" priority="1059" operator="greaterThan">
      <formula>0</formula>
    </cfRule>
  </conditionalFormatting>
  <conditionalFormatting sqref="E14">
    <cfRule type="cellIs" dxfId="649" priority="1054" operator="greaterThan">
      <formula>0</formula>
    </cfRule>
  </conditionalFormatting>
  <conditionalFormatting sqref="E16">
    <cfRule type="cellIs" dxfId="648" priority="1051" operator="greaterThan">
      <formula>0</formula>
    </cfRule>
    <cfRule type="cellIs" dxfId="647" priority="1052" operator="greaterThan">
      <formula>0</formula>
    </cfRule>
    <cfRule type="cellIs" dxfId="646" priority="1053" operator="greaterThan">
      <formula>" € - "</formula>
    </cfRule>
  </conditionalFormatting>
  <conditionalFormatting sqref="E16">
    <cfRule type="cellIs" dxfId="645" priority="1049" operator="greaterThan">
      <formula>0</formula>
    </cfRule>
    <cfRule type="cellIs" dxfId="644" priority="1050" operator="greaterThan">
      <formula>" € - "</formula>
    </cfRule>
  </conditionalFormatting>
  <conditionalFormatting sqref="E16">
    <cfRule type="cellIs" dxfId="643" priority="1044" operator="greaterThan">
      <formula>0</formula>
    </cfRule>
    <cfRule type="cellIs" dxfId="642" priority="1045" operator="greaterThan">
      <formula>0</formula>
    </cfRule>
    <cfRule type="cellIs" dxfId="641" priority="1046" operator="greaterThan">
      <formula>0</formula>
    </cfRule>
    <cfRule type="cellIs" dxfId="640" priority="1047" operator="greaterThan">
      <formula>0</formula>
    </cfRule>
    <cfRule type="cellIs" dxfId="639" priority="1048" operator="greaterThan">
      <formula>0</formula>
    </cfRule>
  </conditionalFormatting>
  <conditionalFormatting sqref="E16">
    <cfRule type="cellIs" dxfId="638" priority="1043" operator="greaterThan">
      <formula>0</formula>
    </cfRule>
  </conditionalFormatting>
  <conditionalFormatting sqref="E18">
    <cfRule type="cellIs" dxfId="637" priority="1040" operator="greaterThan">
      <formula>0</formula>
    </cfRule>
    <cfRule type="cellIs" dxfId="636" priority="1041" operator="greaterThan">
      <formula>0</formula>
    </cfRule>
    <cfRule type="cellIs" dxfId="635" priority="1042" operator="greaterThan">
      <formula>" € - "</formula>
    </cfRule>
  </conditionalFormatting>
  <conditionalFormatting sqref="E18">
    <cfRule type="cellIs" dxfId="634" priority="1038" operator="greaterThan">
      <formula>0</formula>
    </cfRule>
    <cfRule type="cellIs" dxfId="633" priority="1039" operator="greaterThan">
      <formula>" € - "</formula>
    </cfRule>
  </conditionalFormatting>
  <conditionalFormatting sqref="E18">
    <cfRule type="cellIs" dxfId="632" priority="1033" operator="greaterThan">
      <formula>0</formula>
    </cfRule>
    <cfRule type="cellIs" dxfId="631" priority="1034" operator="greaterThan">
      <formula>0</formula>
    </cfRule>
    <cfRule type="cellIs" dxfId="630" priority="1035" operator="greaterThan">
      <formula>0</formula>
    </cfRule>
    <cfRule type="cellIs" dxfId="629" priority="1036" operator="greaterThan">
      <formula>0</formula>
    </cfRule>
    <cfRule type="cellIs" dxfId="628" priority="1037" operator="greaterThan">
      <formula>0</formula>
    </cfRule>
  </conditionalFormatting>
  <conditionalFormatting sqref="E18">
    <cfRule type="cellIs" dxfId="627" priority="1032" operator="greaterThan">
      <formula>0</formula>
    </cfRule>
  </conditionalFormatting>
  <conditionalFormatting sqref="E20">
    <cfRule type="cellIs" dxfId="626" priority="1029" operator="greaterThan">
      <formula>0</formula>
    </cfRule>
    <cfRule type="cellIs" dxfId="625" priority="1030" operator="greaterThan">
      <formula>0</formula>
    </cfRule>
    <cfRule type="cellIs" dxfId="624" priority="1031" operator="greaterThan">
      <formula>" € - "</formula>
    </cfRule>
  </conditionalFormatting>
  <conditionalFormatting sqref="E20">
    <cfRule type="cellIs" dxfId="623" priority="1027" operator="greaterThan">
      <formula>0</formula>
    </cfRule>
    <cfRule type="cellIs" dxfId="622" priority="1028" operator="greaterThan">
      <formula>" € - "</formula>
    </cfRule>
  </conditionalFormatting>
  <conditionalFormatting sqref="E20">
    <cfRule type="cellIs" dxfId="621" priority="1022" operator="greaterThan">
      <formula>0</formula>
    </cfRule>
    <cfRule type="cellIs" dxfId="620" priority="1023" operator="greaterThan">
      <formula>0</formula>
    </cfRule>
    <cfRule type="cellIs" dxfId="619" priority="1024" operator="greaterThan">
      <formula>0</formula>
    </cfRule>
    <cfRule type="cellIs" dxfId="618" priority="1025" operator="greaterThan">
      <formula>0</formula>
    </cfRule>
    <cfRule type="cellIs" dxfId="617" priority="1026" operator="greaterThan">
      <formula>0</formula>
    </cfRule>
  </conditionalFormatting>
  <conditionalFormatting sqref="E20">
    <cfRule type="cellIs" dxfId="616" priority="1021" operator="greaterThan">
      <formula>0</formula>
    </cfRule>
  </conditionalFormatting>
  <conditionalFormatting sqref="E22">
    <cfRule type="cellIs" dxfId="615" priority="1018" operator="greaterThan">
      <formula>0</formula>
    </cfRule>
    <cfRule type="cellIs" dxfId="614" priority="1019" operator="greaterThan">
      <formula>0</formula>
    </cfRule>
    <cfRule type="cellIs" dxfId="613" priority="1020" operator="greaterThan">
      <formula>" € - "</formula>
    </cfRule>
  </conditionalFormatting>
  <conditionalFormatting sqref="E22">
    <cfRule type="cellIs" dxfId="612" priority="1016" operator="greaterThan">
      <formula>0</formula>
    </cfRule>
    <cfRule type="cellIs" dxfId="611" priority="1017" operator="greaterThan">
      <formula>" € - "</formula>
    </cfRule>
  </conditionalFormatting>
  <conditionalFormatting sqref="E22">
    <cfRule type="cellIs" dxfId="610" priority="1011" operator="greaterThan">
      <formula>0</formula>
    </cfRule>
    <cfRule type="cellIs" dxfId="609" priority="1012" operator="greaterThan">
      <formula>0</formula>
    </cfRule>
    <cfRule type="cellIs" dxfId="608" priority="1013" operator="greaterThan">
      <formula>0</formula>
    </cfRule>
    <cfRule type="cellIs" dxfId="607" priority="1014" operator="greaterThan">
      <formula>0</formula>
    </cfRule>
    <cfRule type="cellIs" dxfId="606" priority="1015" operator="greaterThan">
      <formula>0</formula>
    </cfRule>
  </conditionalFormatting>
  <conditionalFormatting sqref="E22">
    <cfRule type="cellIs" dxfId="605" priority="1010" operator="greaterThan">
      <formula>0</formula>
    </cfRule>
  </conditionalFormatting>
  <conditionalFormatting sqref="E24">
    <cfRule type="cellIs" dxfId="604" priority="1007" operator="greaterThan">
      <formula>0</formula>
    </cfRule>
    <cfRule type="cellIs" dxfId="603" priority="1008" operator="greaterThan">
      <formula>0</formula>
    </cfRule>
    <cfRule type="cellIs" dxfId="602" priority="1009" operator="greaterThan">
      <formula>" € - "</formula>
    </cfRule>
  </conditionalFormatting>
  <conditionalFormatting sqref="E24">
    <cfRule type="cellIs" dxfId="601" priority="1005" operator="greaterThan">
      <formula>0</formula>
    </cfRule>
    <cfRule type="cellIs" dxfId="600" priority="1006" operator="greaterThan">
      <formula>" € - "</formula>
    </cfRule>
  </conditionalFormatting>
  <conditionalFormatting sqref="E24">
    <cfRule type="cellIs" dxfId="599" priority="1000" operator="greaterThan">
      <formula>0</formula>
    </cfRule>
    <cfRule type="cellIs" dxfId="598" priority="1001" operator="greaterThan">
      <formula>0</formula>
    </cfRule>
    <cfRule type="cellIs" dxfId="597" priority="1002" operator="greaterThan">
      <formula>0</formula>
    </cfRule>
    <cfRule type="cellIs" dxfId="596" priority="1003" operator="greaterThan">
      <formula>0</formula>
    </cfRule>
    <cfRule type="cellIs" dxfId="595" priority="1004" operator="greaterThan">
      <formula>0</formula>
    </cfRule>
  </conditionalFormatting>
  <conditionalFormatting sqref="E24">
    <cfRule type="cellIs" dxfId="594" priority="999" operator="greaterThan">
      <formula>0</formula>
    </cfRule>
  </conditionalFormatting>
  <conditionalFormatting sqref="I30">
    <cfRule type="cellIs" dxfId="593" priority="998" operator="greaterThan">
      <formula>0</formula>
    </cfRule>
  </conditionalFormatting>
  <conditionalFormatting sqref="I32">
    <cfRule type="cellIs" dxfId="592" priority="996" operator="greaterThan">
      <formula>0</formula>
    </cfRule>
    <cfRule type="cellIs" dxfId="591" priority="997" operator="greaterThan">
      <formula>0</formula>
    </cfRule>
  </conditionalFormatting>
  <conditionalFormatting sqref="I32">
    <cfRule type="cellIs" dxfId="590" priority="995" operator="greaterThan">
      <formula>0</formula>
    </cfRule>
  </conditionalFormatting>
  <conditionalFormatting sqref="J32">
    <cfRule type="cellIs" dxfId="589" priority="993" operator="greaterThan">
      <formula>0</formula>
    </cfRule>
    <cfRule type="cellIs" dxfId="588" priority="994" operator="greaterThan">
      <formula>0</formula>
    </cfRule>
  </conditionalFormatting>
  <conditionalFormatting sqref="J32">
    <cfRule type="cellIs" dxfId="587" priority="992" operator="greaterThan">
      <formula>0</formula>
    </cfRule>
  </conditionalFormatting>
  <conditionalFormatting sqref="I34">
    <cfRule type="cellIs" dxfId="586" priority="990" operator="greaterThan">
      <formula>0</formula>
    </cfRule>
    <cfRule type="cellIs" dxfId="585" priority="991" operator="greaterThan">
      <formula>0</formula>
    </cfRule>
  </conditionalFormatting>
  <conditionalFormatting sqref="I34">
    <cfRule type="cellIs" dxfId="584" priority="989" operator="greaterThan">
      <formula>0</formula>
    </cfRule>
  </conditionalFormatting>
  <conditionalFormatting sqref="J34">
    <cfRule type="cellIs" dxfId="583" priority="987" operator="greaterThan">
      <formula>0</formula>
    </cfRule>
    <cfRule type="cellIs" dxfId="582" priority="988" operator="greaterThan">
      <formula>0</formula>
    </cfRule>
  </conditionalFormatting>
  <conditionalFormatting sqref="J34">
    <cfRule type="cellIs" dxfId="581" priority="986" operator="greaterThan">
      <formula>0</formula>
    </cfRule>
  </conditionalFormatting>
  <conditionalFormatting sqref="F8">
    <cfRule type="cellIs" dxfId="580" priority="980" operator="greaterThan">
      <formula>0</formula>
    </cfRule>
    <cfRule type="cellIs" dxfId="579" priority="981" operator="greaterThan">
      <formula>0</formula>
    </cfRule>
    <cfRule type="cellIs" dxfId="578" priority="982" operator="greaterThan">
      <formula>0</formula>
    </cfRule>
    <cfRule type="cellIs" dxfId="577" priority="983" operator="greaterThan">
      <formula>0</formula>
    </cfRule>
    <cfRule type="cellIs" dxfId="576" priority="984" operator="greaterThan">
      <formula>0</formula>
    </cfRule>
  </conditionalFormatting>
  <conditionalFormatting sqref="F8">
    <cfRule type="cellIs" dxfId="575" priority="979" operator="greaterThan">
      <formula>0</formula>
    </cfRule>
  </conditionalFormatting>
  <conditionalFormatting sqref="I36">
    <cfRule type="cellIs" dxfId="574" priority="959" operator="greaterThan">
      <formula>0</formula>
    </cfRule>
    <cfRule type="cellIs" dxfId="573" priority="960" operator="greaterThan">
      <formula>0</formula>
    </cfRule>
  </conditionalFormatting>
  <conditionalFormatting sqref="I36">
    <cfRule type="cellIs" dxfId="572" priority="958" operator="greaterThan">
      <formula>0</formula>
    </cfRule>
  </conditionalFormatting>
  <conditionalFormatting sqref="I38">
    <cfRule type="cellIs" dxfId="571" priority="956" operator="greaterThan">
      <formula>0</formula>
    </cfRule>
    <cfRule type="cellIs" dxfId="570" priority="957" operator="greaterThan">
      <formula>0</formula>
    </cfRule>
  </conditionalFormatting>
  <conditionalFormatting sqref="I38">
    <cfRule type="cellIs" dxfId="569" priority="955" operator="greaterThan">
      <formula>0</formula>
    </cfRule>
  </conditionalFormatting>
  <conditionalFormatting sqref="I40">
    <cfRule type="cellIs" dxfId="568" priority="953" operator="greaterThan">
      <formula>0</formula>
    </cfRule>
    <cfRule type="cellIs" dxfId="567" priority="954" operator="greaterThan">
      <formula>0</formula>
    </cfRule>
  </conditionalFormatting>
  <conditionalFormatting sqref="I40">
    <cfRule type="cellIs" dxfId="566" priority="952" operator="greaterThan">
      <formula>0</formula>
    </cfRule>
  </conditionalFormatting>
  <conditionalFormatting sqref="I42">
    <cfRule type="cellIs" dxfId="565" priority="950" operator="greaterThan">
      <formula>0</formula>
    </cfRule>
    <cfRule type="cellIs" dxfId="564" priority="951" operator="greaterThan">
      <formula>0</formula>
    </cfRule>
  </conditionalFormatting>
  <conditionalFormatting sqref="I42">
    <cfRule type="cellIs" dxfId="563" priority="949" operator="greaterThan">
      <formula>0</formula>
    </cfRule>
  </conditionalFormatting>
  <conditionalFormatting sqref="I44">
    <cfRule type="cellIs" dxfId="562" priority="947" operator="greaterThan">
      <formula>0</formula>
    </cfRule>
    <cfRule type="cellIs" dxfId="561" priority="948" operator="greaterThan">
      <formula>0</formula>
    </cfRule>
  </conditionalFormatting>
  <conditionalFormatting sqref="I44">
    <cfRule type="cellIs" dxfId="560" priority="946" operator="greaterThan">
      <formula>0</formula>
    </cfRule>
  </conditionalFormatting>
  <conditionalFormatting sqref="I46">
    <cfRule type="cellIs" dxfId="559" priority="944" operator="greaterThan">
      <formula>0</formula>
    </cfRule>
    <cfRule type="cellIs" dxfId="558" priority="945" operator="greaterThan">
      <formula>0</formula>
    </cfRule>
  </conditionalFormatting>
  <conditionalFormatting sqref="I46">
    <cfRule type="cellIs" dxfId="557" priority="943" operator="greaterThan">
      <formula>0</formula>
    </cfRule>
  </conditionalFormatting>
  <conditionalFormatting sqref="I48">
    <cfRule type="cellIs" dxfId="556" priority="941" operator="greaterThan">
      <formula>0</formula>
    </cfRule>
    <cfRule type="cellIs" dxfId="555" priority="942" operator="greaterThan">
      <formula>0</formula>
    </cfRule>
  </conditionalFormatting>
  <conditionalFormatting sqref="I48">
    <cfRule type="cellIs" dxfId="554" priority="940" operator="greaterThan">
      <formula>0</formula>
    </cfRule>
  </conditionalFormatting>
  <conditionalFormatting sqref="J36">
    <cfRule type="cellIs" dxfId="553" priority="938" operator="greaterThan">
      <formula>0</formula>
    </cfRule>
    <cfRule type="cellIs" dxfId="552" priority="939" operator="greaterThan">
      <formula>0</formula>
    </cfRule>
  </conditionalFormatting>
  <conditionalFormatting sqref="J36">
    <cfRule type="cellIs" dxfId="551" priority="937" operator="greaterThan">
      <formula>0</formula>
    </cfRule>
  </conditionalFormatting>
  <conditionalFormatting sqref="J38">
    <cfRule type="cellIs" dxfId="550" priority="935" operator="greaterThan">
      <formula>0</formula>
    </cfRule>
    <cfRule type="cellIs" dxfId="549" priority="936" operator="greaterThan">
      <formula>0</formula>
    </cfRule>
  </conditionalFormatting>
  <conditionalFormatting sqref="J38">
    <cfRule type="cellIs" dxfId="548" priority="934" operator="greaterThan">
      <formula>0</formula>
    </cfRule>
  </conditionalFormatting>
  <conditionalFormatting sqref="J40">
    <cfRule type="cellIs" dxfId="547" priority="932" operator="greaterThan">
      <formula>0</formula>
    </cfRule>
    <cfRule type="cellIs" dxfId="546" priority="933" operator="greaterThan">
      <formula>0</formula>
    </cfRule>
  </conditionalFormatting>
  <conditionalFormatting sqref="J40">
    <cfRule type="cellIs" dxfId="545" priority="931" operator="greaterThan">
      <formula>0</formula>
    </cfRule>
  </conditionalFormatting>
  <conditionalFormatting sqref="J42">
    <cfRule type="cellIs" dxfId="544" priority="929" operator="greaterThan">
      <formula>0</formula>
    </cfRule>
    <cfRule type="cellIs" dxfId="543" priority="930" operator="greaterThan">
      <formula>0</formula>
    </cfRule>
  </conditionalFormatting>
  <conditionalFormatting sqref="J42">
    <cfRule type="cellIs" dxfId="542" priority="928" operator="greaterThan">
      <formula>0</formula>
    </cfRule>
  </conditionalFormatting>
  <conditionalFormatting sqref="J44">
    <cfRule type="cellIs" dxfId="541" priority="926" operator="greaterThan">
      <formula>0</formula>
    </cfRule>
    <cfRule type="cellIs" dxfId="540" priority="927" operator="greaterThan">
      <formula>0</formula>
    </cfRule>
  </conditionalFormatting>
  <conditionalFormatting sqref="J44">
    <cfRule type="cellIs" dxfId="539" priority="925" operator="greaterThan">
      <formula>0</formula>
    </cfRule>
  </conditionalFormatting>
  <conditionalFormatting sqref="J46">
    <cfRule type="cellIs" dxfId="538" priority="923" operator="greaterThan">
      <formula>0</formula>
    </cfRule>
    <cfRule type="cellIs" dxfId="537" priority="924" operator="greaterThan">
      <formula>0</formula>
    </cfRule>
  </conditionalFormatting>
  <conditionalFormatting sqref="J46">
    <cfRule type="cellIs" dxfId="536" priority="922" operator="greaterThan">
      <formula>0</formula>
    </cfRule>
  </conditionalFormatting>
  <conditionalFormatting sqref="J48">
    <cfRule type="cellIs" dxfId="535" priority="920" operator="greaterThan">
      <formula>0</formula>
    </cfRule>
    <cfRule type="cellIs" dxfId="534" priority="921" operator="greaterThan">
      <formula>0</formula>
    </cfRule>
  </conditionalFormatting>
  <conditionalFormatting sqref="J48">
    <cfRule type="cellIs" dxfId="533" priority="919" operator="greaterThan">
      <formula>0</formula>
    </cfRule>
  </conditionalFormatting>
  <conditionalFormatting sqref="D14">
    <cfRule type="cellIs" dxfId="532" priority="916" operator="greaterThan">
      <formula>0</formula>
    </cfRule>
    <cfRule type="cellIs" dxfId="531" priority="917" operator="greaterThan">
      <formula>0</formula>
    </cfRule>
    <cfRule type="cellIs" dxfId="530" priority="918" operator="greaterThan">
      <formula>" € - "</formula>
    </cfRule>
  </conditionalFormatting>
  <conditionalFormatting sqref="D14">
    <cfRule type="cellIs" dxfId="529" priority="914" operator="greaterThan">
      <formula>0</formula>
    </cfRule>
    <cfRule type="cellIs" dxfId="528" priority="915" operator="greaterThan">
      <formula>" € - "</formula>
    </cfRule>
  </conditionalFormatting>
  <conditionalFormatting sqref="D14">
    <cfRule type="cellIs" dxfId="527" priority="909" operator="greaterThan">
      <formula>0</formula>
    </cfRule>
    <cfRule type="cellIs" dxfId="526" priority="910" operator="greaterThan">
      <formula>0</formula>
    </cfRule>
    <cfRule type="cellIs" dxfId="525" priority="911" operator="greaterThan">
      <formula>0</formula>
    </cfRule>
    <cfRule type="cellIs" dxfId="524" priority="912" operator="greaterThan">
      <formula>0</formula>
    </cfRule>
    <cfRule type="cellIs" dxfId="523" priority="913" operator="greaterThan">
      <formula>0</formula>
    </cfRule>
  </conditionalFormatting>
  <conditionalFormatting sqref="D14">
    <cfRule type="cellIs" dxfId="522" priority="908" operator="greaterThan">
      <formula>0</formula>
    </cfRule>
  </conditionalFormatting>
  <conditionalFormatting sqref="D16">
    <cfRule type="cellIs" dxfId="521" priority="905" operator="greaterThan">
      <formula>0</formula>
    </cfRule>
    <cfRule type="cellIs" dxfId="520" priority="906" operator="greaterThan">
      <formula>0</formula>
    </cfRule>
    <cfRule type="cellIs" dxfId="519" priority="907" operator="greaterThan">
      <formula>" € - "</formula>
    </cfRule>
  </conditionalFormatting>
  <conditionalFormatting sqref="D16">
    <cfRule type="cellIs" dxfId="518" priority="903" operator="greaterThan">
      <formula>0</formula>
    </cfRule>
    <cfRule type="cellIs" dxfId="517" priority="904" operator="greaterThan">
      <formula>" € - "</formula>
    </cfRule>
  </conditionalFormatting>
  <conditionalFormatting sqref="D16">
    <cfRule type="cellIs" dxfId="516" priority="898" operator="greaterThan">
      <formula>0</formula>
    </cfRule>
    <cfRule type="cellIs" dxfId="515" priority="899" operator="greaterThan">
      <formula>0</formula>
    </cfRule>
    <cfRule type="cellIs" dxfId="514" priority="900" operator="greaterThan">
      <formula>0</formula>
    </cfRule>
    <cfRule type="cellIs" dxfId="513" priority="901" operator="greaterThan">
      <formula>0</formula>
    </cfRule>
    <cfRule type="cellIs" dxfId="512" priority="902" operator="greaterThan">
      <formula>0</formula>
    </cfRule>
  </conditionalFormatting>
  <conditionalFormatting sqref="D16">
    <cfRule type="cellIs" dxfId="511" priority="897" operator="greaterThan">
      <formula>0</formula>
    </cfRule>
  </conditionalFormatting>
  <conditionalFormatting sqref="D18">
    <cfRule type="cellIs" dxfId="510" priority="894" operator="greaterThan">
      <formula>0</formula>
    </cfRule>
    <cfRule type="cellIs" dxfId="509" priority="895" operator="greaterThan">
      <formula>0</formula>
    </cfRule>
    <cfRule type="cellIs" dxfId="508" priority="896" operator="greaterThan">
      <formula>" € - "</formula>
    </cfRule>
  </conditionalFormatting>
  <conditionalFormatting sqref="D18">
    <cfRule type="cellIs" dxfId="507" priority="892" operator="greaterThan">
      <formula>0</formula>
    </cfRule>
    <cfRule type="cellIs" dxfId="506" priority="893" operator="greaterThan">
      <formula>" € - "</formula>
    </cfRule>
  </conditionalFormatting>
  <conditionalFormatting sqref="D18">
    <cfRule type="cellIs" dxfId="505" priority="887" operator="greaterThan">
      <formula>0</formula>
    </cfRule>
    <cfRule type="cellIs" dxfId="504" priority="888" operator="greaterThan">
      <formula>0</formula>
    </cfRule>
    <cfRule type="cellIs" dxfId="503" priority="889" operator="greaterThan">
      <formula>0</formula>
    </cfRule>
    <cfRule type="cellIs" dxfId="502" priority="890" operator="greaterThan">
      <formula>0</formula>
    </cfRule>
    <cfRule type="cellIs" dxfId="501" priority="891" operator="greaterThan">
      <formula>0</formula>
    </cfRule>
  </conditionalFormatting>
  <conditionalFormatting sqref="D18">
    <cfRule type="cellIs" dxfId="500" priority="886" operator="greaterThan">
      <formula>0</formula>
    </cfRule>
  </conditionalFormatting>
  <conditionalFormatting sqref="D20">
    <cfRule type="cellIs" dxfId="499" priority="883" operator="greaterThan">
      <formula>0</formula>
    </cfRule>
    <cfRule type="cellIs" dxfId="498" priority="884" operator="greaterThan">
      <formula>0</formula>
    </cfRule>
    <cfRule type="cellIs" dxfId="497" priority="885" operator="greaterThan">
      <formula>" € - "</formula>
    </cfRule>
  </conditionalFormatting>
  <conditionalFormatting sqref="D20">
    <cfRule type="cellIs" dxfId="496" priority="881" operator="greaterThan">
      <formula>0</formula>
    </cfRule>
    <cfRule type="cellIs" dxfId="495" priority="882" operator="greaterThan">
      <formula>" € - "</formula>
    </cfRule>
  </conditionalFormatting>
  <conditionalFormatting sqref="D20">
    <cfRule type="cellIs" dxfId="494" priority="876" operator="greaterThan">
      <formula>0</formula>
    </cfRule>
    <cfRule type="cellIs" dxfId="493" priority="877" operator="greaterThan">
      <formula>0</formula>
    </cfRule>
    <cfRule type="cellIs" dxfId="492" priority="878" operator="greaterThan">
      <formula>0</formula>
    </cfRule>
    <cfRule type="cellIs" dxfId="491" priority="879" operator="greaterThan">
      <formula>0</formula>
    </cfRule>
    <cfRule type="cellIs" dxfId="490" priority="880" operator="greaterThan">
      <formula>0</formula>
    </cfRule>
  </conditionalFormatting>
  <conditionalFormatting sqref="D20">
    <cfRule type="cellIs" dxfId="489" priority="875" operator="greaterThan">
      <formula>0</formula>
    </cfRule>
  </conditionalFormatting>
  <conditionalFormatting sqref="D22">
    <cfRule type="cellIs" dxfId="488" priority="872" operator="greaterThan">
      <formula>0</formula>
    </cfRule>
    <cfRule type="cellIs" dxfId="487" priority="873" operator="greaterThan">
      <formula>0</formula>
    </cfRule>
    <cfRule type="cellIs" dxfId="486" priority="874" operator="greaterThan">
      <formula>" € - "</formula>
    </cfRule>
  </conditionalFormatting>
  <conditionalFormatting sqref="D22">
    <cfRule type="cellIs" dxfId="485" priority="870" operator="greaterThan">
      <formula>0</formula>
    </cfRule>
    <cfRule type="cellIs" dxfId="484" priority="871" operator="greaterThan">
      <formula>" € - "</formula>
    </cfRule>
  </conditionalFormatting>
  <conditionalFormatting sqref="D22">
    <cfRule type="cellIs" dxfId="483" priority="865" operator="greaterThan">
      <formula>0</formula>
    </cfRule>
    <cfRule type="cellIs" dxfId="482" priority="866" operator="greaterThan">
      <formula>0</formula>
    </cfRule>
    <cfRule type="cellIs" dxfId="481" priority="867" operator="greaterThan">
      <formula>0</formula>
    </cfRule>
    <cfRule type="cellIs" dxfId="480" priority="868" operator="greaterThan">
      <formula>0</formula>
    </cfRule>
    <cfRule type="cellIs" dxfId="479" priority="869" operator="greaterThan">
      <formula>0</formula>
    </cfRule>
  </conditionalFormatting>
  <conditionalFormatting sqref="D22">
    <cfRule type="cellIs" dxfId="478" priority="864" operator="greaterThan">
      <formula>0</formula>
    </cfRule>
  </conditionalFormatting>
  <conditionalFormatting sqref="D24">
    <cfRule type="cellIs" dxfId="477" priority="861" operator="greaterThan">
      <formula>0</formula>
    </cfRule>
    <cfRule type="cellIs" dxfId="476" priority="862" operator="greaterThan">
      <formula>0</formula>
    </cfRule>
    <cfRule type="cellIs" dxfId="475" priority="863" operator="greaterThan">
      <formula>" € - "</formula>
    </cfRule>
  </conditionalFormatting>
  <conditionalFormatting sqref="D24">
    <cfRule type="cellIs" dxfId="474" priority="859" operator="greaterThan">
      <formula>0</formula>
    </cfRule>
    <cfRule type="cellIs" dxfId="473" priority="860" operator="greaterThan">
      <formula>" € - "</formula>
    </cfRule>
  </conditionalFormatting>
  <conditionalFormatting sqref="D24">
    <cfRule type="cellIs" dxfId="472" priority="854" operator="greaterThan">
      <formula>0</formula>
    </cfRule>
    <cfRule type="cellIs" dxfId="471" priority="855" operator="greaterThan">
      <formula>0</formula>
    </cfRule>
    <cfRule type="cellIs" dxfId="470" priority="856" operator="greaterThan">
      <formula>0</formula>
    </cfRule>
    <cfRule type="cellIs" dxfId="469" priority="857" operator="greaterThan">
      <formula>0</formula>
    </cfRule>
    <cfRule type="cellIs" dxfId="468" priority="858" operator="greaterThan">
      <formula>0</formula>
    </cfRule>
  </conditionalFormatting>
  <conditionalFormatting sqref="D24">
    <cfRule type="cellIs" dxfId="467" priority="853" operator="greaterThan">
      <formula>0</formula>
    </cfRule>
  </conditionalFormatting>
  <conditionalFormatting sqref="L29">
    <cfRule type="cellIs" dxfId="466" priority="852" operator="greaterThan">
      <formula>0</formula>
    </cfRule>
  </conditionalFormatting>
  <conditionalFormatting sqref="I32 I34 I36 I38 I40 I42 I44 I46 I48">
    <cfRule type="cellIs" dxfId="465" priority="851" operator="greaterThan">
      <formula>0</formula>
    </cfRule>
  </conditionalFormatting>
  <conditionalFormatting sqref="I30">
    <cfRule type="cellIs" dxfId="464" priority="849" operator="greaterThan">
      <formula>0</formula>
    </cfRule>
    <cfRule type="cellIs" dxfId="463" priority="850" operator="greaterThan">
      <formula>0</formula>
    </cfRule>
  </conditionalFormatting>
  <conditionalFormatting sqref="I30">
    <cfRule type="cellIs" dxfId="462" priority="848" operator="greaterThan">
      <formula>0</formula>
    </cfRule>
  </conditionalFormatting>
  <conditionalFormatting sqref="I30">
    <cfRule type="cellIs" dxfId="461" priority="847" operator="greaterThan">
      <formula>0</formula>
    </cfRule>
  </conditionalFormatting>
  <conditionalFormatting sqref="I32">
    <cfRule type="cellIs" dxfId="460" priority="845" operator="greaterThan">
      <formula>0</formula>
    </cfRule>
    <cfRule type="cellIs" dxfId="459" priority="846" operator="greaterThan">
      <formula>0</formula>
    </cfRule>
  </conditionalFormatting>
  <conditionalFormatting sqref="I32">
    <cfRule type="cellIs" dxfId="458" priority="844" operator="greaterThan">
      <formula>0</formula>
    </cfRule>
  </conditionalFormatting>
  <conditionalFormatting sqref="I32">
    <cfRule type="cellIs" dxfId="457" priority="842" operator="greaterThan">
      <formula>0</formula>
    </cfRule>
    <cfRule type="cellIs" dxfId="456" priority="843" operator="greaterThan">
      <formula>0</formula>
    </cfRule>
  </conditionalFormatting>
  <conditionalFormatting sqref="I32">
    <cfRule type="cellIs" dxfId="455" priority="841" operator="greaterThan">
      <formula>0</formula>
    </cfRule>
  </conditionalFormatting>
  <conditionalFormatting sqref="I32">
    <cfRule type="cellIs" dxfId="454" priority="840" operator="greaterThan">
      <formula>0</formula>
    </cfRule>
  </conditionalFormatting>
  <conditionalFormatting sqref="L29">
    <cfRule type="cellIs" dxfId="453" priority="827" operator="greaterThan">
      <formula>0</formula>
    </cfRule>
    <cfRule type="cellIs" dxfId="452" priority="828" operator="greaterThan">
      <formula>0</formula>
    </cfRule>
  </conditionalFormatting>
  <conditionalFormatting sqref="L29">
    <cfRule type="cellIs" dxfId="451" priority="826" operator="greaterThan">
      <formula>0</formula>
    </cfRule>
  </conditionalFormatting>
  <conditionalFormatting sqref="L29">
    <cfRule type="cellIs" dxfId="450" priority="825" operator="greaterThan">
      <formula>0</formula>
    </cfRule>
  </conditionalFormatting>
  <conditionalFormatting sqref="L29">
    <cfRule type="cellIs" dxfId="449" priority="823" operator="greaterThan">
      <formula>0</formula>
    </cfRule>
    <cfRule type="cellIs" dxfId="448" priority="824" operator="greaterThan">
      <formula>0</formula>
    </cfRule>
  </conditionalFormatting>
  <conditionalFormatting sqref="L29">
    <cfRule type="cellIs" dxfId="447" priority="822" operator="greaterThan">
      <formula>0</formula>
    </cfRule>
  </conditionalFormatting>
  <conditionalFormatting sqref="L29">
    <cfRule type="cellIs" dxfId="446" priority="820" operator="greaterThan">
      <formula>0</formula>
    </cfRule>
    <cfRule type="cellIs" dxfId="445" priority="821" operator="greaterThan">
      <formula>0</formula>
    </cfRule>
  </conditionalFormatting>
  <conditionalFormatting sqref="L29">
    <cfRule type="cellIs" dxfId="444" priority="819" operator="greaterThan">
      <formula>0</formula>
    </cfRule>
  </conditionalFormatting>
  <conditionalFormatting sqref="L29">
    <cfRule type="cellIs" dxfId="443" priority="818" operator="greaterThan">
      <formula>0</formula>
    </cfRule>
  </conditionalFormatting>
  <conditionalFormatting sqref="I34">
    <cfRule type="cellIs" dxfId="442" priority="806" operator="greaterThan">
      <formula>0</formula>
    </cfRule>
  </conditionalFormatting>
  <conditionalFormatting sqref="I34">
    <cfRule type="cellIs" dxfId="441" priority="804" operator="greaterThan">
      <formula>0</formula>
    </cfRule>
    <cfRule type="cellIs" dxfId="440" priority="805" operator="greaterThan">
      <formula>0</formula>
    </cfRule>
  </conditionalFormatting>
  <conditionalFormatting sqref="I34">
    <cfRule type="cellIs" dxfId="439" priority="803" operator="greaterThan">
      <formula>0</formula>
    </cfRule>
  </conditionalFormatting>
  <conditionalFormatting sqref="I34">
    <cfRule type="cellIs" dxfId="438" priority="802" operator="greaterThan">
      <formula>0</formula>
    </cfRule>
  </conditionalFormatting>
  <conditionalFormatting sqref="I34">
    <cfRule type="cellIs" dxfId="437" priority="800" operator="greaterThan">
      <formula>0</formula>
    </cfRule>
    <cfRule type="cellIs" dxfId="436" priority="801" operator="greaterThan">
      <formula>0</formula>
    </cfRule>
  </conditionalFormatting>
  <conditionalFormatting sqref="I34">
    <cfRule type="cellIs" dxfId="435" priority="799" operator="greaterThan">
      <formula>0</formula>
    </cfRule>
  </conditionalFormatting>
  <conditionalFormatting sqref="I34">
    <cfRule type="cellIs" dxfId="434" priority="797" operator="greaterThan">
      <formula>0</formula>
    </cfRule>
    <cfRule type="cellIs" dxfId="433" priority="798" operator="greaterThan">
      <formula>0</formula>
    </cfRule>
  </conditionalFormatting>
  <conditionalFormatting sqref="I34">
    <cfRule type="cellIs" dxfId="432" priority="796" operator="greaterThan">
      <formula>0</formula>
    </cfRule>
  </conditionalFormatting>
  <conditionalFormatting sqref="I34">
    <cfRule type="cellIs" dxfId="431" priority="795" operator="greaterThan">
      <formula>0</formula>
    </cfRule>
  </conditionalFormatting>
  <conditionalFormatting sqref="I36">
    <cfRule type="cellIs" dxfId="430" priority="793" operator="greaterThan">
      <formula>0</formula>
    </cfRule>
    <cfRule type="cellIs" dxfId="429" priority="794" operator="greaterThan">
      <formula>0</formula>
    </cfRule>
  </conditionalFormatting>
  <conditionalFormatting sqref="I36">
    <cfRule type="cellIs" dxfId="428" priority="792" operator="greaterThan">
      <formula>0</formula>
    </cfRule>
  </conditionalFormatting>
  <conditionalFormatting sqref="I36">
    <cfRule type="cellIs" dxfId="427" priority="791" operator="greaterThan">
      <formula>0</formula>
    </cfRule>
  </conditionalFormatting>
  <conditionalFormatting sqref="I36">
    <cfRule type="cellIs" dxfId="426" priority="789" operator="greaterThan">
      <formula>0</formula>
    </cfRule>
    <cfRule type="cellIs" dxfId="425" priority="790" operator="greaterThan">
      <formula>0</formula>
    </cfRule>
  </conditionalFormatting>
  <conditionalFormatting sqref="I36">
    <cfRule type="cellIs" dxfId="424" priority="788" operator="greaterThan">
      <formula>0</formula>
    </cfRule>
  </conditionalFormatting>
  <conditionalFormatting sqref="I36">
    <cfRule type="cellIs" dxfId="423" priority="787" operator="greaterThan">
      <formula>0</formula>
    </cfRule>
  </conditionalFormatting>
  <conditionalFormatting sqref="I36">
    <cfRule type="cellIs" dxfId="422" priority="785" operator="greaterThan">
      <formula>0</formula>
    </cfRule>
    <cfRule type="cellIs" dxfId="421" priority="786" operator="greaterThan">
      <formula>0</formula>
    </cfRule>
  </conditionalFormatting>
  <conditionalFormatting sqref="I36">
    <cfRule type="cellIs" dxfId="420" priority="784" operator="greaterThan">
      <formula>0</formula>
    </cfRule>
  </conditionalFormatting>
  <conditionalFormatting sqref="I36">
    <cfRule type="cellIs" dxfId="419" priority="782" operator="greaterThan">
      <formula>0</formula>
    </cfRule>
    <cfRule type="cellIs" dxfId="418" priority="783" operator="greaterThan">
      <formula>0</formula>
    </cfRule>
  </conditionalFormatting>
  <conditionalFormatting sqref="I36">
    <cfRule type="cellIs" dxfId="417" priority="781" operator="greaterThan">
      <formula>0</formula>
    </cfRule>
  </conditionalFormatting>
  <conditionalFormatting sqref="I36">
    <cfRule type="cellIs" dxfId="416" priority="780" operator="greaterThan">
      <formula>0</formula>
    </cfRule>
  </conditionalFormatting>
  <conditionalFormatting sqref="I38">
    <cfRule type="cellIs" dxfId="415" priority="778" operator="greaterThan">
      <formula>0</formula>
    </cfRule>
    <cfRule type="cellIs" dxfId="414" priority="779" operator="greaterThan">
      <formula>0</formula>
    </cfRule>
  </conditionalFormatting>
  <conditionalFormatting sqref="I38">
    <cfRule type="cellIs" dxfId="413" priority="777" operator="greaterThan">
      <formula>0</formula>
    </cfRule>
  </conditionalFormatting>
  <conditionalFormatting sqref="I38">
    <cfRule type="cellIs" dxfId="412" priority="775" operator="greaterThan">
      <formula>0</formula>
    </cfRule>
    <cfRule type="cellIs" dxfId="411" priority="776" operator="greaterThan">
      <formula>0</formula>
    </cfRule>
  </conditionalFormatting>
  <conditionalFormatting sqref="I38">
    <cfRule type="cellIs" dxfId="410" priority="774" operator="greaterThan">
      <formula>0</formula>
    </cfRule>
  </conditionalFormatting>
  <conditionalFormatting sqref="I38">
    <cfRule type="cellIs" dxfId="409" priority="773" operator="greaterThan">
      <formula>0</formula>
    </cfRule>
  </conditionalFormatting>
  <conditionalFormatting sqref="I38">
    <cfRule type="cellIs" dxfId="408" priority="771" operator="greaterThan">
      <formula>0</formula>
    </cfRule>
    <cfRule type="cellIs" dxfId="407" priority="772" operator="greaterThan">
      <formula>0</formula>
    </cfRule>
  </conditionalFormatting>
  <conditionalFormatting sqref="I38">
    <cfRule type="cellIs" dxfId="406" priority="770" operator="greaterThan">
      <formula>0</formula>
    </cfRule>
  </conditionalFormatting>
  <conditionalFormatting sqref="I38">
    <cfRule type="cellIs" dxfId="405" priority="769" operator="greaterThan">
      <formula>0</formula>
    </cfRule>
  </conditionalFormatting>
  <conditionalFormatting sqref="I38">
    <cfRule type="cellIs" dxfId="404" priority="767" operator="greaterThan">
      <formula>0</formula>
    </cfRule>
    <cfRule type="cellIs" dxfId="403" priority="768" operator="greaterThan">
      <formula>0</formula>
    </cfRule>
  </conditionalFormatting>
  <conditionalFormatting sqref="I38">
    <cfRule type="cellIs" dxfId="402" priority="766" operator="greaterThan">
      <formula>0</formula>
    </cfRule>
  </conditionalFormatting>
  <conditionalFormatting sqref="I38">
    <cfRule type="cellIs" dxfId="401" priority="764" operator="greaterThan">
      <formula>0</formula>
    </cfRule>
    <cfRule type="cellIs" dxfId="400" priority="765" operator="greaterThan">
      <formula>0</formula>
    </cfRule>
  </conditionalFormatting>
  <conditionalFormatting sqref="I38">
    <cfRule type="cellIs" dxfId="399" priority="763" operator="greaterThan">
      <formula>0</formula>
    </cfRule>
  </conditionalFormatting>
  <conditionalFormatting sqref="I38">
    <cfRule type="cellIs" dxfId="398" priority="762" operator="greaterThan">
      <formula>0</formula>
    </cfRule>
  </conditionalFormatting>
  <conditionalFormatting sqref="I40">
    <cfRule type="cellIs" dxfId="397" priority="760" operator="greaterThan">
      <formula>0</formula>
    </cfRule>
    <cfRule type="cellIs" dxfId="396" priority="761" operator="greaterThan">
      <formula>0</formula>
    </cfRule>
  </conditionalFormatting>
  <conditionalFormatting sqref="I40">
    <cfRule type="cellIs" dxfId="395" priority="759" operator="greaterThan">
      <formula>0</formula>
    </cfRule>
  </conditionalFormatting>
  <conditionalFormatting sqref="I40">
    <cfRule type="cellIs" dxfId="394" priority="757" operator="greaterThan">
      <formula>0</formula>
    </cfRule>
    <cfRule type="cellIs" dxfId="393" priority="758" operator="greaterThan">
      <formula>0</formula>
    </cfRule>
  </conditionalFormatting>
  <conditionalFormatting sqref="I40">
    <cfRule type="cellIs" dxfId="392" priority="756" operator="greaterThan">
      <formula>0</formula>
    </cfRule>
  </conditionalFormatting>
  <conditionalFormatting sqref="I40">
    <cfRule type="cellIs" dxfId="391" priority="754" operator="greaterThan">
      <formula>0</formula>
    </cfRule>
    <cfRule type="cellIs" dxfId="390" priority="755" operator="greaterThan">
      <formula>0</formula>
    </cfRule>
  </conditionalFormatting>
  <conditionalFormatting sqref="I40">
    <cfRule type="cellIs" dxfId="389" priority="753" operator="greaterThan">
      <formula>0</formula>
    </cfRule>
  </conditionalFormatting>
  <conditionalFormatting sqref="I40">
    <cfRule type="cellIs" dxfId="388" priority="752" operator="greaterThan">
      <formula>0</formula>
    </cfRule>
  </conditionalFormatting>
  <conditionalFormatting sqref="I40">
    <cfRule type="cellIs" dxfId="387" priority="750" operator="greaterThan">
      <formula>0</formula>
    </cfRule>
    <cfRule type="cellIs" dxfId="386" priority="751" operator="greaterThan">
      <formula>0</formula>
    </cfRule>
  </conditionalFormatting>
  <conditionalFormatting sqref="I40">
    <cfRule type="cellIs" dxfId="385" priority="749" operator="greaterThan">
      <formula>0</formula>
    </cfRule>
  </conditionalFormatting>
  <conditionalFormatting sqref="I40">
    <cfRule type="cellIs" dxfId="384" priority="748" operator="greaterThan">
      <formula>0</formula>
    </cfRule>
  </conditionalFormatting>
  <conditionalFormatting sqref="I40">
    <cfRule type="cellIs" dxfId="383" priority="746" operator="greaterThan">
      <formula>0</formula>
    </cfRule>
    <cfRule type="cellIs" dxfId="382" priority="747" operator="greaterThan">
      <formula>0</formula>
    </cfRule>
  </conditionalFormatting>
  <conditionalFormatting sqref="I40">
    <cfRule type="cellIs" dxfId="381" priority="745" operator="greaterThan">
      <formula>0</formula>
    </cfRule>
  </conditionalFormatting>
  <conditionalFormatting sqref="I40">
    <cfRule type="cellIs" dxfId="380" priority="743" operator="greaterThan">
      <formula>0</formula>
    </cfRule>
    <cfRule type="cellIs" dxfId="379" priority="744" operator="greaterThan">
      <formula>0</formula>
    </cfRule>
  </conditionalFormatting>
  <conditionalFormatting sqref="I40">
    <cfRule type="cellIs" dxfId="378" priority="742" operator="greaterThan">
      <formula>0</formula>
    </cfRule>
  </conditionalFormatting>
  <conditionalFormatting sqref="I40">
    <cfRule type="cellIs" dxfId="377" priority="741" operator="greaterThan">
      <formula>0</formula>
    </cfRule>
  </conditionalFormatting>
  <conditionalFormatting sqref="I42">
    <cfRule type="cellIs" dxfId="376" priority="739" operator="greaterThan">
      <formula>0</formula>
    </cfRule>
    <cfRule type="cellIs" dxfId="375" priority="740" operator="greaterThan">
      <formula>0</formula>
    </cfRule>
  </conditionalFormatting>
  <conditionalFormatting sqref="I42">
    <cfRule type="cellIs" dxfId="374" priority="738" operator="greaterThan">
      <formula>0</formula>
    </cfRule>
  </conditionalFormatting>
  <conditionalFormatting sqref="I42">
    <cfRule type="cellIs" dxfId="373" priority="736" operator="greaterThan">
      <formula>0</formula>
    </cfRule>
    <cfRule type="cellIs" dxfId="372" priority="737" operator="greaterThan">
      <formula>0</formula>
    </cfRule>
  </conditionalFormatting>
  <conditionalFormatting sqref="I42">
    <cfRule type="cellIs" dxfId="371" priority="735" operator="greaterThan">
      <formula>0</formula>
    </cfRule>
  </conditionalFormatting>
  <conditionalFormatting sqref="I42">
    <cfRule type="cellIs" dxfId="370" priority="733" operator="greaterThan">
      <formula>0</formula>
    </cfRule>
    <cfRule type="cellIs" dxfId="369" priority="734" operator="greaterThan">
      <formula>0</formula>
    </cfRule>
  </conditionalFormatting>
  <conditionalFormatting sqref="I42">
    <cfRule type="cellIs" dxfId="368" priority="732" operator="greaterThan">
      <formula>0</formula>
    </cfRule>
  </conditionalFormatting>
  <conditionalFormatting sqref="I42">
    <cfRule type="cellIs" dxfId="367" priority="730" operator="greaterThan">
      <formula>0</formula>
    </cfRule>
    <cfRule type="cellIs" dxfId="366" priority="731" operator="greaterThan">
      <formula>0</formula>
    </cfRule>
  </conditionalFormatting>
  <conditionalFormatting sqref="I42">
    <cfRule type="cellIs" dxfId="365" priority="729" operator="greaterThan">
      <formula>0</formula>
    </cfRule>
  </conditionalFormatting>
  <conditionalFormatting sqref="I42">
    <cfRule type="cellIs" dxfId="364" priority="728" operator="greaterThan">
      <formula>0</formula>
    </cfRule>
  </conditionalFormatting>
  <conditionalFormatting sqref="I42">
    <cfRule type="cellIs" dxfId="363" priority="726" operator="greaterThan">
      <formula>0</formula>
    </cfRule>
    <cfRule type="cellIs" dxfId="362" priority="727" operator="greaterThan">
      <formula>0</formula>
    </cfRule>
  </conditionalFormatting>
  <conditionalFormatting sqref="I42">
    <cfRule type="cellIs" dxfId="361" priority="725" operator="greaterThan">
      <formula>0</formula>
    </cfRule>
  </conditionalFormatting>
  <conditionalFormatting sqref="I42">
    <cfRule type="cellIs" dxfId="360" priority="724" operator="greaterThan">
      <formula>0</formula>
    </cfRule>
  </conditionalFormatting>
  <conditionalFormatting sqref="I42">
    <cfRule type="cellIs" dxfId="359" priority="722" operator="greaterThan">
      <formula>0</formula>
    </cfRule>
    <cfRule type="cellIs" dxfId="358" priority="723" operator="greaterThan">
      <formula>0</formula>
    </cfRule>
  </conditionalFormatting>
  <conditionalFormatting sqref="I42">
    <cfRule type="cellIs" dxfId="357" priority="721" operator="greaterThan">
      <formula>0</formula>
    </cfRule>
  </conditionalFormatting>
  <conditionalFormatting sqref="I42">
    <cfRule type="cellIs" dxfId="356" priority="719" operator="greaterThan">
      <formula>0</formula>
    </cfRule>
    <cfRule type="cellIs" dxfId="355" priority="720" operator="greaterThan">
      <formula>0</formula>
    </cfRule>
  </conditionalFormatting>
  <conditionalFormatting sqref="I42">
    <cfRule type="cellIs" dxfId="354" priority="718" operator="greaterThan">
      <formula>0</formula>
    </cfRule>
  </conditionalFormatting>
  <conditionalFormatting sqref="I42">
    <cfRule type="cellIs" dxfId="353" priority="717" operator="greaterThan">
      <formula>0</formula>
    </cfRule>
  </conditionalFormatting>
  <conditionalFormatting sqref="I44">
    <cfRule type="cellIs" dxfId="352" priority="715" operator="greaterThan">
      <formula>0</formula>
    </cfRule>
    <cfRule type="cellIs" dxfId="351" priority="716" operator="greaterThan">
      <formula>0</formula>
    </cfRule>
  </conditionalFormatting>
  <conditionalFormatting sqref="I44">
    <cfRule type="cellIs" dxfId="350" priority="714" operator="greaterThan">
      <formula>0</formula>
    </cfRule>
  </conditionalFormatting>
  <conditionalFormatting sqref="I44">
    <cfRule type="cellIs" dxfId="349" priority="712" operator="greaterThan">
      <formula>0</formula>
    </cfRule>
    <cfRule type="cellIs" dxfId="348" priority="713" operator="greaterThan">
      <formula>0</formula>
    </cfRule>
  </conditionalFormatting>
  <conditionalFormatting sqref="I44">
    <cfRule type="cellIs" dxfId="347" priority="711" operator="greaterThan">
      <formula>0</formula>
    </cfRule>
  </conditionalFormatting>
  <conditionalFormatting sqref="I44">
    <cfRule type="cellIs" dxfId="346" priority="709" operator="greaterThan">
      <formula>0</formula>
    </cfRule>
    <cfRule type="cellIs" dxfId="345" priority="710" operator="greaterThan">
      <formula>0</formula>
    </cfRule>
  </conditionalFormatting>
  <conditionalFormatting sqref="I44">
    <cfRule type="cellIs" dxfId="344" priority="708" operator="greaterThan">
      <formula>0</formula>
    </cfRule>
  </conditionalFormatting>
  <conditionalFormatting sqref="I44">
    <cfRule type="cellIs" dxfId="343" priority="706" operator="greaterThan">
      <formula>0</formula>
    </cfRule>
    <cfRule type="cellIs" dxfId="342" priority="707" operator="greaterThan">
      <formula>0</formula>
    </cfRule>
  </conditionalFormatting>
  <conditionalFormatting sqref="I44">
    <cfRule type="cellIs" dxfId="341" priority="705" operator="greaterThan">
      <formula>0</formula>
    </cfRule>
  </conditionalFormatting>
  <conditionalFormatting sqref="I44">
    <cfRule type="cellIs" dxfId="340" priority="703" operator="greaterThan">
      <formula>0</formula>
    </cfRule>
    <cfRule type="cellIs" dxfId="339" priority="704" operator="greaterThan">
      <formula>0</formula>
    </cfRule>
  </conditionalFormatting>
  <conditionalFormatting sqref="I44">
    <cfRule type="cellIs" dxfId="338" priority="702" operator="greaterThan">
      <formula>0</formula>
    </cfRule>
  </conditionalFormatting>
  <conditionalFormatting sqref="I44">
    <cfRule type="cellIs" dxfId="337" priority="701" operator="greaterThan">
      <formula>0</formula>
    </cfRule>
  </conditionalFormatting>
  <conditionalFormatting sqref="I44">
    <cfRule type="cellIs" dxfId="336" priority="699" operator="greaterThan">
      <formula>0</formula>
    </cfRule>
    <cfRule type="cellIs" dxfId="335" priority="700" operator="greaterThan">
      <formula>0</formula>
    </cfRule>
  </conditionalFormatting>
  <conditionalFormatting sqref="I44">
    <cfRule type="cellIs" dxfId="334" priority="698" operator="greaterThan">
      <formula>0</formula>
    </cfRule>
  </conditionalFormatting>
  <conditionalFormatting sqref="I44">
    <cfRule type="cellIs" dxfId="333" priority="697" operator="greaterThan">
      <formula>0</formula>
    </cfRule>
  </conditionalFormatting>
  <conditionalFormatting sqref="I44">
    <cfRule type="cellIs" dxfId="332" priority="695" operator="greaterThan">
      <formula>0</formula>
    </cfRule>
    <cfRule type="cellIs" dxfId="331" priority="696" operator="greaterThan">
      <formula>0</formula>
    </cfRule>
  </conditionalFormatting>
  <conditionalFormatting sqref="I44">
    <cfRule type="cellIs" dxfId="330" priority="694" operator="greaterThan">
      <formula>0</formula>
    </cfRule>
  </conditionalFormatting>
  <conditionalFormatting sqref="I44">
    <cfRule type="cellIs" dxfId="329" priority="692" operator="greaterThan">
      <formula>0</formula>
    </cfRule>
    <cfRule type="cellIs" dxfId="328" priority="693" operator="greaterThan">
      <formula>0</formula>
    </cfRule>
  </conditionalFormatting>
  <conditionalFormatting sqref="I44">
    <cfRule type="cellIs" dxfId="327" priority="691" operator="greaterThan">
      <formula>0</formula>
    </cfRule>
  </conditionalFormatting>
  <conditionalFormatting sqref="I44">
    <cfRule type="cellIs" dxfId="326" priority="690" operator="greaterThan">
      <formula>0</formula>
    </cfRule>
  </conditionalFormatting>
  <conditionalFormatting sqref="I46">
    <cfRule type="cellIs" dxfId="325" priority="688" operator="greaterThan">
      <formula>0</formula>
    </cfRule>
    <cfRule type="cellIs" dxfId="324" priority="689" operator="greaterThan">
      <formula>0</formula>
    </cfRule>
  </conditionalFormatting>
  <conditionalFormatting sqref="I46">
    <cfRule type="cellIs" dxfId="323" priority="687" operator="greaterThan">
      <formula>0</formula>
    </cfRule>
  </conditionalFormatting>
  <conditionalFormatting sqref="I46">
    <cfRule type="cellIs" dxfId="322" priority="685" operator="greaterThan">
      <formula>0</formula>
    </cfRule>
    <cfRule type="cellIs" dxfId="321" priority="686" operator="greaterThan">
      <formula>0</formula>
    </cfRule>
  </conditionalFormatting>
  <conditionalFormatting sqref="I46">
    <cfRule type="cellIs" dxfId="320" priority="684" operator="greaterThan">
      <formula>0</formula>
    </cfRule>
  </conditionalFormatting>
  <conditionalFormatting sqref="I46">
    <cfRule type="cellIs" dxfId="319" priority="682" operator="greaterThan">
      <formula>0</formula>
    </cfRule>
    <cfRule type="cellIs" dxfId="318" priority="683" operator="greaterThan">
      <formula>0</formula>
    </cfRule>
  </conditionalFormatting>
  <conditionalFormatting sqref="I46">
    <cfRule type="cellIs" dxfId="317" priority="681" operator="greaterThan">
      <formula>0</formula>
    </cfRule>
  </conditionalFormatting>
  <conditionalFormatting sqref="I46">
    <cfRule type="cellIs" dxfId="316" priority="679" operator="greaterThan">
      <formula>0</formula>
    </cfRule>
    <cfRule type="cellIs" dxfId="315" priority="680" operator="greaterThan">
      <formula>0</formula>
    </cfRule>
  </conditionalFormatting>
  <conditionalFormatting sqref="I46">
    <cfRule type="cellIs" dxfId="314" priority="678" operator="greaterThan">
      <formula>0</formula>
    </cfRule>
  </conditionalFormatting>
  <conditionalFormatting sqref="I46">
    <cfRule type="cellIs" dxfId="313" priority="676" operator="greaterThan">
      <formula>0</formula>
    </cfRule>
    <cfRule type="cellIs" dxfId="312" priority="677" operator="greaterThan">
      <formula>0</formula>
    </cfRule>
  </conditionalFormatting>
  <conditionalFormatting sqref="I46">
    <cfRule type="cellIs" dxfId="311" priority="675" operator="greaterThan">
      <formula>0</formula>
    </cfRule>
  </conditionalFormatting>
  <conditionalFormatting sqref="I46">
    <cfRule type="cellIs" dxfId="310" priority="673" operator="greaterThan">
      <formula>0</formula>
    </cfRule>
    <cfRule type="cellIs" dxfId="309" priority="674" operator="greaterThan">
      <formula>0</formula>
    </cfRule>
  </conditionalFormatting>
  <conditionalFormatting sqref="I46">
    <cfRule type="cellIs" dxfId="308" priority="672" operator="greaterThan">
      <formula>0</formula>
    </cfRule>
  </conditionalFormatting>
  <conditionalFormatting sqref="I46">
    <cfRule type="cellIs" dxfId="307" priority="671" operator="greaterThan">
      <formula>0</formula>
    </cfRule>
  </conditionalFormatting>
  <conditionalFormatting sqref="I46">
    <cfRule type="cellIs" dxfId="306" priority="669" operator="greaterThan">
      <formula>0</formula>
    </cfRule>
    <cfRule type="cellIs" dxfId="305" priority="670" operator="greaterThan">
      <formula>0</formula>
    </cfRule>
  </conditionalFormatting>
  <conditionalFormatting sqref="I46">
    <cfRule type="cellIs" dxfId="304" priority="668" operator="greaterThan">
      <formula>0</formula>
    </cfRule>
  </conditionalFormatting>
  <conditionalFormatting sqref="I46">
    <cfRule type="cellIs" dxfId="303" priority="667" operator="greaterThan">
      <formula>0</formula>
    </cfRule>
  </conditionalFormatting>
  <conditionalFormatting sqref="I46">
    <cfRule type="cellIs" dxfId="302" priority="665" operator="greaterThan">
      <formula>0</formula>
    </cfRule>
    <cfRule type="cellIs" dxfId="301" priority="666" operator="greaterThan">
      <formula>0</formula>
    </cfRule>
  </conditionalFormatting>
  <conditionalFormatting sqref="I46">
    <cfRule type="cellIs" dxfId="300" priority="664" operator="greaterThan">
      <formula>0</formula>
    </cfRule>
  </conditionalFormatting>
  <conditionalFormatting sqref="I46">
    <cfRule type="cellIs" dxfId="299" priority="662" operator="greaterThan">
      <formula>0</formula>
    </cfRule>
    <cfRule type="cellIs" dxfId="298" priority="663" operator="greaterThan">
      <formula>0</formula>
    </cfRule>
  </conditionalFormatting>
  <conditionalFormatting sqref="I46">
    <cfRule type="cellIs" dxfId="297" priority="661" operator="greaterThan">
      <formula>0</formula>
    </cfRule>
  </conditionalFormatting>
  <conditionalFormatting sqref="I46">
    <cfRule type="cellIs" dxfId="296" priority="660" operator="greaterThan">
      <formula>0</formula>
    </cfRule>
  </conditionalFormatting>
  <conditionalFormatting sqref="I48">
    <cfRule type="cellIs" dxfId="295" priority="658" operator="greaterThan">
      <formula>0</formula>
    </cfRule>
    <cfRule type="cellIs" dxfId="294" priority="659" operator="greaterThan">
      <formula>0</formula>
    </cfRule>
  </conditionalFormatting>
  <conditionalFormatting sqref="I48">
    <cfRule type="cellIs" dxfId="293" priority="657" operator="greaterThan">
      <formula>0</formula>
    </cfRule>
  </conditionalFormatting>
  <conditionalFormatting sqref="I48">
    <cfRule type="cellIs" dxfId="292" priority="655" operator="greaterThan">
      <formula>0</formula>
    </cfRule>
    <cfRule type="cellIs" dxfId="291" priority="656" operator="greaterThan">
      <formula>0</formula>
    </cfRule>
  </conditionalFormatting>
  <conditionalFormatting sqref="I48">
    <cfRule type="cellIs" dxfId="290" priority="654" operator="greaterThan">
      <formula>0</formula>
    </cfRule>
  </conditionalFormatting>
  <conditionalFormatting sqref="I48">
    <cfRule type="cellIs" dxfId="289" priority="652" operator="greaterThan">
      <formula>0</formula>
    </cfRule>
    <cfRule type="cellIs" dxfId="288" priority="653" operator="greaterThan">
      <formula>0</formula>
    </cfRule>
  </conditionalFormatting>
  <conditionalFormatting sqref="I48">
    <cfRule type="cellIs" dxfId="287" priority="651" operator="greaterThan">
      <formula>0</formula>
    </cfRule>
  </conditionalFormatting>
  <conditionalFormatting sqref="I48">
    <cfRule type="cellIs" dxfId="286" priority="649" operator="greaterThan">
      <formula>0</formula>
    </cfRule>
    <cfRule type="cellIs" dxfId="285" priority="650" operator="greaterThan">
      <formula>0</formula>
    </cfRule>
  </conditionalFormatting>
  <conditionalFormatting sqref="I48">
    <cfRule type="cellIs" dxfId="284" priority="648" operator="greaterThan">
      <formula>0</formula>
    </cfRule>
  </conditionalFormatting>
  <conditionalFormatting sqref="I48">
    <cfRule type="cellIs" dxfId="283" priority="646" operator="greaterThan">
      <formula>0</formula>
    </cfRule>
    <cfRule type="cellIs" dxfId="282" priority="647" operator="greaterThan">
      <formula>0</formula>
    </cfRule>
  </conditionalFormatting>
  <conditionalFormatting sqref="I48">
    <cfRule type="cellIs" dxfId="281" priority="645" operator="greaterThan">
      <formula>0</formula>
    </cfRule>
  </conditionalFormatting>
  <conditionalFormatting sqref="I48">
    <cfRule type="cellIs" dxfId="280" priority="643" operator="greaterThan">
      <formula>0</formula>
    </cfRule>
    <cfRule type="cellIs" dxfId="279" priority="644" operator="greaterThan">
      <formula>0</formula>
    </cfRule>
  </conditionalFormatting>
  <conditionalFormatting sqref="I48">
    <cfRule type="cellIs" dxfId="278" priority="642" operator="greaterThan">
      <formula>0</formula>
    </cfRule>
  </conditionalFormatting>
  <conditionalFormatting sqref="I48">
    <cfRule type="cellIs" dxfId="277" priority="640" operator="greaterThan">
      <formula>0</formula>
    </cfRule>
    <cfRule type="cellIs" dxfId="276" priority="641" operator="greaterThan">
      <formula>0</formula>
    </cfRule>
  </conditionalFormatting>
  <conditionalFormatting sqref="I48">
    <cfRule type="cellIs" dxfId="275" priority="639" operator="greaterThan">
      <formula>0</formula>
    </cfRule>
  </conditionalFormatting>
  <conditionalFormatting sqref="I48">
    <cfRule type="cellIs" dxfId="274" priority="638" operator="greaterThan">
      <formula>0</formula>
    </cfRule>
  </conditionalFormatting>
  <conditionalFormatting sqref="I48">
    <cfRule type="cellIs" dxfId="273" priority="636" operator="greaterThan">
      <formula>0</formula>
    </cfRule>
    <cfRule type="cellIs" dxfId="272" priority="637" operator="greaterThan">
      <formula>0</formula>
    </cfRule>
  </conditionalFormatting>
  <conditionalFormatting sqref="I48">
    <cfRule type="cellIs" dxfId="271" priority="635" operator="greaterThan">
      <formula>0</formula>
    </cfRule>
  </conditionalFormatting>
  <conditionalFormatting sqref="I48">
    <cfRule type="cellIs" dxfId="270" priority="634" operator="greaterThan">
      <formula>0</formula>
    </cfRule>
  </conditionalFormatting>
  <conditionalFormatting sqref="I48">
    <cfRule type="cellIs" dxfId="269" priority="632" operator="greaterThan">
      <formula>0</formula>
    </cfRule>
    <cfRule type="cellIs" dxfId="268" priority="633" operator="greaterThan">
      <formula>0</formula>
    </cfRule>
  </conditionalFormatting>
  <conditionalFormatting sqref="I48">
    <cfRule type="cellIs" dxfId="267" priority="631" operator="greaterThan">
      <formula>0</formula>
    </cfRule>
  </conditionalFormatting>
  <conditionalFormatting sqref="I48">
    <cfRule type="cellIs" dxfId="266" priority="629" operator="greaterThan">
      <formula>0</formula>
    </cfRule>
    <cfRule type="cellIs" dxfId="265" priority="630" operator="greaterThan">
      <formula>0</formula>
    </cfRule>
  </conditionalFormatting>
  <conditionalFormatting sqref="I48">
    <cfRule type="cellIs" dxfId="264" priority="628" operator="greaterThan">
      <formula>0</formula>
    </cfRule>
  </conditionalFormatting>
  <conditionalFormatting sqref="I48">
    <cfRule type="cellIs" dxfId="263" priority="627" operator="greaterThan">
      <formula>0</formula>
    </cfRule>
  </conditionalFormatting>
  <conditionalFormatting sqref="M29">
    <cfRule type="cellIs" dxfId="262" priority="626" operator="greaterThan">
      <formula>0</formula>
    </cfRule>
  </conditionalFormatting>
  <conditionalFormatting sqref="M29">
    <cfRule type="cellIs" dxfId="261" priority="625" operator="greaterThan">
      <formula>0</formula>
    </cfRule>
  </conditionalFormatting>
  <conditionalFormatting sqref="M29">
    <cfRule type="cellIs" dxfId="260" priority="623" operator="greaterThan">
      <formula>0</formula>
    </cfRule>
    <cfRule type="cellIs" dxfId="259" priority="624" operator="greaterThan">
      <formula>0</formula>
    </cfRule>
  </conditionalFormatting>
  <conditionalFormatting sqref="M29">
    <cfRule type="cellIs" dxfId="258" priority="622" operator="greaterThan">
      <formula>0</formula>
    </cfRule>
  </conditionalFormatting>
  <conditionalFormatting sqref="M29">
    <cfRule type="cellIs" dxfId="257" priority="621" operator="greaterThan">
      <formula>0</formula>
    </cfRule>
  </conditionalFormatting>
  <conditionalFormatting sqref="M29">
    <cfRule type="cellIs" dxfId="256" priority="619" operator="greaterThan">
      <formula>0</formula>
    </cfRule>
    <cfRule type="cellIs" dxfId="255" priority="620" operator="greaterThan">
      <formula>0</formula>
    </cfRule>
  </conditionalFormatting>
  <conditionalFormatting sqref="M29">
    <cfRule type="cellIs" dxfId="254" priority="618" operator="greaterThan">
      <formula>0</formula>
    </cfRule>
  </conditionalFormatting>
  <conditionalFormatting sqref="M29">
    <cfRule type="cellIs" dxfId="253" priority="616" operator="greaterThan">
      <formula>0</formula>
    </cfRule>
    <cfRule type="cellIs" dxfId="252" priority="617" operator="greaterThan">
      <formula>0</formula>
    </cfRule>
  </conditionalFormatting>
  <conditionalFormatting sqref="M29">
    <cfRule type="cellIs" dxfId="251" priority="615" operator="greaterThan">
      <formula>0</formula>
    </cfRule>
  </conditionalFormatting>
  <conditionalFormatting sqref="M29">
    <cfRule type="cellIs" dxfId="250" priority="614" operator="greaterThan">
      <formula>0</formula>
    </cfRule>
  </conditionalFormatting>
  <conditionalFormatting sqref="K29">
    <cfRule type="cellIs" dxfId="249" priority="613" operator="greaterThan">
      <formula>0</formula>
    </cfRule>
  </conditionalFormatting>
  <conditionalFormatting sqref="K29">
    <cfRule type="cellIs" dxfId="248" priority="612" operator="greaterThan">
      <formula>0</formula>
    </cfRule>
  </conditionalFormatting>
  <conditionalFormatting sqref="K29">
    <cfRule type="cellIs" dxfId="247" priority="610" operator="greaterThan">
      <formula>0</formula>
    </cfRule>
    <cfRule type="cellIs" dxfId="246" priority="611" operator="greaterThan">
      <formula>0</formula>
    </cfRule>
  </conditionalFormatting>
  <conditionalFormatting sqref="K29">
    <cfRule type="cellIs" dxfId="245" priority="609" operator="greaterThan">
      <formula>0</formula>
    </cfRule>
  </conditionalFormatting>
  <conditionalFormatting sqref="K29">
    <cfRule type="cellIs" dxfId="244" priority="608" operator="greaterThan">
      <formula>0</formula>
    </cfRule>
  </conditionalFormatting>
  <conditionalFormatting sqref="K29">
    <cfRule type="cellIs" dxfId="243" priority="606" operator="greaterThan">
      <formula>0</formula>
    </cfRule>
    <cfRule type="cellIs" dxfId="242" priority="607" operator="greaterThan">
      <formula>0</formula>
    </cfRule>
  </conditionalFormatting>
  <conditionalFormatting sqref="K29">
    <cfRule type="cellIs" dxfId="241" priority="605" operator="greaterThan">
      <formula>0</formula>
    </cfRule>
  </conditionalFormatting>
  <conditionalFormatting sqref="K29">
    <cfRule type="cellIs" dxfId="240" priority="603" operator="greaterThan">
      <formula>0</formula>
    </cfRule>
    <cfRule type="cellIs" dxfId="239" priority="604" operator="greaterThan">
      <formula>0</formula>
    </cfRule>
  </conditionalFormatting>
  <conditionalFormatting sqref="K29">
    <cfRule type="cellIs" dxfId="238" priority="602" operator="greaterThan">
      <formula>0</formula>
    </cfRule>
  </conditionalFormatting>
  <conditionalFormatting sqref="K29">
    <cfRule type="cellIs" dxfId="237" priority="601" operator="greaterThan">
      <formula>0</formula>
    </cfRule>
  </conditionalFormatting>
  <conditionalFormatting sqref="J29">
    <cfRule type="cellIs" dxfId="236" priority="600" operator="greaterThan">
      <formula>0</formula>
    </cfRule>
  </conditionalFormatting>
  <conditionalFormatting sqref="J29">
    <cfRule type="cellIs" dxfId="235" priority="599" operator="greaterThan">
      <formula>0</formula>
    </cfRule>
  </conditionalFormatting>
  <conditionalFormatting sqref="J29">
    <cfRule type="cellIs" dxfId="234" priority="597" operator="greaterThan">
      <formula>0</formula>
    </cfRule>
    <cfRule type="cellIs" dxfId="233" priority="598" operator="greaterThan">
      <formula>0</formula>
    </cfRule>
  </conditionalFormatting>
  <conditionalFormatting sqref="J29">
    <cfRule type="cellIs" dxfId="232" priority="596" operator="greaterThan">
      <formula>0</formula>
    </cfRule>
  </conditionalFormatting>
  <conditionalFormatting sqref="J29">
    <cfRule type="cellIs" dxfId="231" priority="595" operator="greaterThan">
      <formula>0</formula>
    </cfRule>
  </conditionalFormatting>
  <conditionalFormatting sqref="J29">
    <cfRule type="cellIs" dxfId="230" priority="593" operator="greaterThan">
      <formula>0</formula>
    </cfRule>
    <cfRule type="cellIs" dxfId="229" priority="594" operator="greaterThan">
      <formula>0</formula>
    </cfRule>
  </conditionalFormatting>
  <conditionalFormatting sqref="J29">
    <cfRule type="cellIs" dxfId="228" priority="592" operator="greaterThan">
      <formula>0</formula>
    </cfRule>
  </conditionalFormatting>
  <conditionalFormatting sqref="J29">
    <cfRule type="cellIs" dxfId="227" priority="590" operator="greaterThan">
      <formula>0</formula>
    </cfRule>
    <cfRule type="cellIs" dxfId="226" priority="591" operator="greaterThan">
      <formula>0</formula>
    </cfRule>
  </conditionalFormatting>
  <conditionalFormatting sqref="J29">
    <cfRule type="cellIs" dxfId="225" priority="589" operator="greaterThan">
      <formula>0</formula>
    </cfRule>
  </conditionalFormatting>
  <conditionalFormatting sqref="J29">
    <cfRule type="cellIs" dxfId="224" priority="588" operator="greaterThan">
      <formula>0</formula>
    </cfRule>
  </conditionalFormatting>
  <conditionalFormatting sqref="I29">
    <cfRule type="cellIs" dxfId="223" priority="587" operator="greaterThan">
      <formula>0</formula>
    </cfRule>
  </conditionalFormatting>
  <conditionalFormatting sqref="I29">
    <cfRule type="cellIs" dxfId="222" priority="586" operator="greaterThan">
      <formula>0</formula>
    </cfRule>
  </conditionalFormatting>
  <conditionalFormatting sqref="I29">
    <cfRule type="cellIs" dxfId="221" priority="584" operator="greaterThan">
      <formula>0</formula>
    </cfRule>
    <cfRule type="cellIs" dxfId="220" priority="585" operator="greaterThan">
      <formula>0</formula>
    </cfRule>
  </conditionalFormatting>
  <conditionalFormatting sqref="I29">
    <cfRule type="cellIs" dxfId="219" priority="583" operator="greaterThan">
      <formula>0</formula>
    </cfRule>
  </conditionalFormatting>
  <conditionalFormatting sqref="I29">
    <cfRule type="cellIs" dxfId="218" priority="582" operator="greaterThan">
      <formula>0</formula>
    </cfRule>
  </conditionalFormatting>
  <conditionalFormatting sqref="I29">
    <cfRule type="cellIs" dxfId="217" priority="580" operator="greaterThan">
      <formula>0</formula>
    </cfRule>
    <cfRule type="cellIs" dxfId="216" priority="581" operator="greaterThan">
      <formula>0</formula>
    </cfRule>
  </conditionalFormatting>
  <conditionalFormatting sqref="I29">
    <cfRule type="cellIs" dxfId="215" priority="579" operator="greaterThan">
      <formula>0</formula>
    </cfRule>
  </conditionalFormatting>
  <conditionalFormatting sqref="I29">
    <cfRule type="cellIs" dxfId="214" priority="577" operator="greaterThan">
      <formula>0</formula>
    </cfRule>
    <cfRule type="cellIs" dxfId="213" priority="578" operator="greaterThan">
      <formula>0</formula>
    </cfRule>
  </conditionalFormatting>
  <conditionalFormatting sqref="I29">
    <cfRule type="cellIs" dxfId="212" priority="576" operator="greaterThan">
      <formula>0</formula>
    </cfRule>
  </conditionalFormatting>
  <conditionalFormatting sqref="I29">
    <cfRule type="cellIs" dxfId="211" priority="575" operator="greaterThan">
      <formula>0</formula>
    </cfRule>
  </conditionalFormatting>
  <conditionalFormatting sqref="J29">
    <cfRule type="cellIs" dxfId="210" priority="558" operator="greaterThan">
      <formula>0</formula>
    </cfRule>
  </conditionalFormatting>
  <conditionalFormatting sqref="V30">
    <cfRule type="cellIs" dxfId="209" priority="567" operator="greaterThan">
      <formula>0</formula>
    </cfRule>
    <cfRule type="cellIs" dxfId="208" priority="568" operator="greaterThan">
      <formula>0</formula>
    </cfRule>
    <cfRule type="cellIs" dxfId="207" priority="569" operator="greaterThan">
      <formula>" € - "</formula>
    </cfRule>
  </conditionalFormatting>
  <conditionalFormatting sqref="V30">
    <cfRule type="cellIs" dxfId="206" priority="565" operator="greaterThan">
      <formula>0</formula>
    </cfRule>
    <cfRule type="cellIs" dxfId="205" priority="566" operator="greaterThan">
      <formula>" € - "</formula>
    </cfRule>
  </conditionalFormatting>
  <conditionalFormatting sqref="V30">
    <cfRule type="cellIs" dxfId="204" priority="560" operator="greaterThan">
      <formula>0</formula>
    </cfRule>
    <cfRule type="cellIs" dxfId="203" priority="561" operator="greaterThan">
      <formula>0</formula>
    </cfRule>
    <cfRule type="cellIs" dxfId="202" priority="562" operator="greaterThan">
      <formula>0</formula>
    </cfRule>
    <cfRule type="cellIs" dxfId="201" priority="563" operator="greaterThan">
      <formula>0</formula>
    </cfRule>
    <cfRule type="cellIs" dxfId="200" priority="564" operator="greaterThan">
      <formula>0</formula>
    </cfRule>
  </conditionalFormatting>
  <conditionalFormatting sqref="V30">
    <cfRule type="cellIs" dxfId="199" priority="559" operator="greaterThan">
      <formula>0</formula>
    </cfRule>
  </conditionalFormatting>
  <conditionalFormatting sqref="J29">
    <cfRule type="cellIs" dxfId="198" priority="557" operator="greaterThan">
      <formula>0</formula>
    </cfRule>
  </conditionalFormatting>
  <conditionalFormatting sqref="J29">
    <cfRule type="cellIs" dxfId="197" priority="555" operator="greaterThan">
      <formula>0</formula>
    </cfRule>
    <cfRule type="cellIs" dxfId="196" priority="556" operator="greaterThan">
      <formula>0</formula>
    </cfRule>
  </conditionalFormatting>
  <conditionalFormatting sqref="J29">
    <cfRule type="cellIs" dxfId="195" priority="554" operator="greaterThan">
      <formula>0</formula>
    </cfRule>
  </conditionalFormatting>
  <conditionalFormatting sqref="J29">
    <cfRule type="cellIs" dxfId="194" priority="553" operator="greaterThan">
      <formula>0</formula>
    </cfRule>
  </conditionalFormatting>
  <conditionalFormatting sqref="J29">
    <cfRule type="cellIs" dxfId="193" priority="551" operator="greaterThan">
      <formula>0</formula>
    </cfRule>
    <cfRule type="cellIs" dxfId="192" priority="552" operator="greaterThan">
      <formula>0</formula>
    </cfRule>
  </conditionalFormatting>
  <conditionalFormatting sqref="J29">
    <cfRule type="cellIs" dxfId="191" priority="550" operator="greaterThan">
      <formula>0</formula>
    </cfRule>
  </conditionalFormatting>
  <conditionalFormatting sqref="J29">
    <cfRule type="cellIs" dxfId="190" priority="548" operator="greaterThan">
      <formula>0</formula>
    </cfRule>
    <cfRule type="cellIs" dxfId="189" priority="549" operator="greaterThan">
      <formula>0</formula>
    </cfRule>
  </conditionalFormatting>
  <conditionalFormatting sqref="J29">
    <cfRule type="cellIs" dxfId="188" priority="547" operator="greaterThan">
      <formula>0</formula>
    </cfRule>
  </conditionalFormatting>
  <conditionalFormatting sqref="J29">
    <cfRule type="cellIs" dxfId="187" priority="546" operator="greaterThan">
      <formula>0</formula>
    </cfRule>
  </conditionalFormatting>
  <conditionalFormatting sqref="V74">
    <cfRule type="cellIs" dxfId="186" priority="451" operator="greaterThan">
      <formula>0</formula>
    </cfRule>
    <cfRule type="cellIs" dxfId="185" priority="452" operator="greaterThan">
      <formula>0</formula>
    </cfRule>
    <cfRule type="cellIs" dxfId="184" priority="453" operator="greaterThan">
      <formula>" € - "</formula>
    </cfRule>
  </conditionalFormatting>
  <conditionalFormatting sqref="V74">
    <cfRule type="cellIs" dxfId="183" priority="449" operator="greaterThan">
      <formula>0</formula>
    </cfRule>
    <cfRule type="cellIs" dxfId="182" priority="450" operator="greaterThan">
      <formula>" € - "</formula>
    </cfRule>
  </conditionalFormatting>
  <conditionalFormatting sqref="V74">
    <cfRule type="cellIs" dxfId="181" priority="444" operator="greaterThan">
      <formula>0</formula>
    </cfRule>
    <cfRule type="cellIs" dxfId="180" priority="445" operator="greaterThan">
      <formula>0</formula>
    </cfRule>
    <cfRule type="cellIs" dxfId="179" priority="446" operator="greaterThan">
      <formula>0</formula>
    </cfRule>
    <cfRule type="cellIs" dxfId="178" priority="447" operator="greaterThan">
      <formula>0</formula>
    </cfRule>
    <cfRule type="cellIs" dxfId="177" priority="448" operator="greaterThan">
      <formula>0</formula>
    </cfRule>
  </conditionalFormatting>
  <conditionalFormatting sqref="V74">
    <cfRule type="cellIs" dxfId="176" priority="443" operator="greaterThan">
      <formula>0</formula>
    </cfRule>
  </conditionalFormatting>
  <conditionalFormatting sqref="F10">
    <cfRule type="cellIs" dxfId="175" priority="428" operator="greaterThan">
      <formula>0</formula>
    </cfRule>
    <cfRule type="cellIs" dxfId="174" priority="429" operator="greaterThan">
      <formula>0</formula>
    </cfRule>
    <cfRule type="cellIs" dxfId="173" priority="430" operator="greaterThan">
      <formula>" € - "</formula>
    </cfRule>
  </conditionalFormatting>
  <conditionalFormatting sqref="F10">
    <cfRule type="cellIs" dxfId="172" priority="423" operator="greaterThan">
      <formula>0</formula>
    </cfRule>
    <cfRule type="cellIs" dxfId="171" priority="424" operator="greaterThan">
      <formula>0</formula>
    </cfRule>
    <cfRule type="cellIs" dxfId="170" priority="425" operator="greaterThan">
      <formula>0</formula>
    </cfRule>
    <cfRule type="cellIs" dxfId="169" priority="426" operator="greaterThan">
      <formula>0</formula>
    </cfRule>
    <cfRule type="cellIs" dxfId="168" priority="427" operator="greaterThan">
      <formula>0</formula>
    </cfRule>
  </conditionalFormatting>
  <conditionalFormatting sqref="F10">
    <cfRule type="cellIs" dxfId="167" priority="422" operator="greaterThan">
      <formula>0</formula>
    </cfRule>
  </conditionalFormatting>
  <conditionalFormatting sqref="D10">
    <cfRule type="cellIs" dxfId="166" priority="176" operator="greaterThan">
      <formula>0</formula>
    </cfRule>
  </conditionalFormatting>
  <conditionalFormatting sqref="D8">
    <cfRule type="cellIs" dxfId="165" priority="177" operator="greaterThan">
      <formula>0</formula>
    </cfRule>
  </conditionalFormatting>
  <conditionalFormatting sqref="E6">
    <cfRule type="cellIs" dxfId="164" priority="164" operator="greaterThan">
      <formula>0</formula>
    </cfRule>
  </conditionalFormatting>
  <conditionalFormatting sqref="D6">
    <cfRule type="cellIs" dxfId="163" priority="165" operator="greaterThan">
      <formula>0</formula>
    </cfRule>
  </conditionalFormatting>
  <conditionalFormatting sqref="C6">
    <cfRule type="cellIs" dxfId="162" priority="166" operator="greaterThan">
      <formula>0</formula>
    </cfRule>
  </conditionalFormatting>
  <conditionalFormatting sqref="F6">
    <cfRule type="cellIs" dxfId="161" priority="161" operator="greaterThan">
      <formula>0</formula>
    </cfRule>
    <cfRule type="cellIs" dxfId="160" priority="162" operator="greaterThan">
      <formula>0</formula>
    </cfRule>
    <cfRule type="cellIs" dxfId="159" priority="163" operator="greaterThan">
      <formula>" € - "</formula>
    </cfRule>
  </conditionalFormatting>
  <conditionalFormatting sqref="F6">
    <cfRule type="cellIs" dxfId="158" priority="156" operator="greaterThan">
      <formula>0</formula>
    </cfRule>
    <cfRule type="cellIs" dxfId="157" priority="157" operator="greaterThan">
      <formula>0</formula>
    </cfRule>
    <cfRule type="cellIs" dxfId="156" priority="158" operator="greaterThan">
      <formula>0</formula>
    </cfRule>
    <cfRule type="cellIs" dxfId="155" priority="159" operator="greaterThan">
      <formula>0</formula>
    </cfRule>
    <cfRule type="cellIs" dxfId="154" priority="160" operator="greaterThan">
      <formula>0</formula>
    </cfRule>
  </conditionalFormatting>
  <conditionalFormatting sqref="F6">
    <cfRule type="cellIs" dxfId="153" priority="155" operator="greaterThan">
      <formula>0</formula>
    </cfRule>
  </conditionalFormatting>
  <conditionalFormatting sqref="F12">
    <cfRule type="cellIs" dxfId="152" priority="152" operator="greaterThan">
      <formula>0</formula>
    </cfRule>
    <cfRule type="cellIs" dxfId="151" priority="153" operator="greaterThan">
      <formula>0</formula>
    </cfRule>
    <cfRule type="cellIs" dxfId="150" priority="154" operator="greaterThan">
      <formula>" € - "</formula>
    </cfRule>
  </conditionalFormatting>
  <conditionalFormatting sqref="F12">
    <cfRule type="cellIs" dxfId="149" priority="147" operator="greaterThan">
      <formula>0</formula>
    </cfRule>
    <cfRule type="cellIs" dxfId="148" priority="148" operator="greaterThan">
      <formula>0</formula>
    </cfRule>
    <cfRule type="cellIs" dxfId="147" priority="149" operator="greaterThan">
      <formula>0</formula>
    </cfRule>
    <cfRule type="cellIs" dxfId="146" priority="150" operator="greaterThan">
      <formula>0</formula>
    </cfRule>
    <cfRule type="cellIs" dxfId="145" priority="151" operator="greaterThan">
      <formula>0</formula>
    </cfRule>
  </conditionalFormatting>
  <conditionalFormatting sqref="F12">
    <cfRule type="cellIs" dxfId="144" priority="146" operator="greaterThan">
      <formula>0</formula>
    </cfRule>
  </conditionalFormatting>
  <conditionalFormatting sqref="F14">
    <cfRule type="cellIs" dxfId="143" priority="143" operator="greaterThan">
      <formula>0</formula>
    </cfRule>
    <cfRule type="cellIs" dxfId="142" priority="144" operator="greaterThan">
      <formula>0</formula>
    </cfRule>
    <cfRule type="cellIs" dxfId="141" priority="145" operator="greaterThan">
      <formula>" € - "</formula>
    </cfRule>
  </conditionalFormatting>
  <conditionalFormatting sqref="F14">
    <cfRule type="cellIs" dxfId="140" priority="138" operator="greaterThan">
      <formula>0</formula>
    </cfRule>
    <cfRule type="cellIs" dxfId="139" priority="139" operator="greaterThan">
      <formula>0</formula>
    </cfRule>
    <cfRule type="cellIs" dxfId="138" priority="140" operator="greaterThan">
      <formula>0</formula>
    </cfRule>
    <cfRule type="cellIs" dxfId="137" priority="141" operator="greaterThan">
      <formula>0</formula>
    </cfRule>
    <cfRule type="cellIs" dxfId="136" priority="142" operator="greaterThan">
      <formula>0</formula>
    </cfRule>
  </conditionalFormatting>
  <conditionalFormatting sqref="F14">
    <cfRule type="cellIs" dxfId="135" priority="137" operator="greaterThan">
      <formula>0</formula>
    </cfRule>
  </conditionalFormatting>
  <conditionalFormatting sqref="F16">
    <cfRule type="cellIs" dxfId="134" priority="134" operator="greaterThan">
      <formula>0</formula>
    </cfRule>
    <cfRule type="cellIs" dxfId="133" priority="135" operator="greaterThan">
      <formula>0</formula>
    </cfRule>
    <cfRule type="cellIs" dxfId="132" priority="136" operator="greaterThan">
      <formula>" € - "</formula>
    </cfRule>
  </conditionalFormatting>
  <conditionalFormatting sqref="F16">
    <cfRule type="cellIs" dxfId="131" priority="129" operator="greaterThan">
      <formula>0</formula>
    </cfRule>
    <cfRule type="cellIs" dxfId="130" priority="130" operator="greaterThan">
      <formula>0</formula>
    </cfRule>
    <cfRule type="cellIs" dxfId="129" priority="131" operator="greaterThan">
      <formula>0</formula>
    </cfRule>
    <cfRule type="cellIs" dxfId="128" priority="132" operator="greaterThan">
      <formula>0</formula>
    </cfRule>
    <cfRule type="cellIs" dxfId="127" priority="133" operator="greaterThan">
      <formula>0</formula>
    </cfRule>
  </conditionalFormatting>
  <conditionalFormatting sqref="F16">
    <cfRule type="cellIs" dxfId="126" priority="128" operator="greaterThan">
      <formula>0</formula>
    </cfRule>
  </conditionalFormatting>
  <conditionalFormatting sqref="F18">
    <cfRule type="cellIs" dxfId="125" priority="125" operator="greaterThan">
      <formula>0</formula>
    </cfRule>
    <cfRule type="cellIs" dxfId="124" priority="126" operator="greaterThan">
      <formula>0</formula>
    </cfRule>
    <cfRule type="cellIs" dxfId="123" priority="127" operator="greaterThan">
      <formula>" € - "</formula>
    </cfRule>
  </conditionalFormatting>
  <conditionalFormatting sqref="F18">
    <cfRule type="cellIs" dxfId="122" priority="120" operator="greaterThan">
      <formula>0</formula>
    </cfRule>
    <cfRule type="cellIs" dxfId="121" priority="121" operator="greaterThan">
      <formula>0</formula>
    </cfRule>
    <cfRule type="cellIs" dxfId="120" priority="122" operator="greaterThan">
      <formula>0</formula>
    </cfRule>
    <cfRule type="cellIs" dxfId="119" priority="123" operator="greaterThan">
      <formula>0</formula>
    </cfRule>
    <cfRule type="cellIs" dxfId="118" priority="124" operator="greaterThan">
      <formula>0</formula>
    </cfRule>
  </conditionalFormatting>
  <conditionalFormatting sqref="F18">
    <cfRule type="cellIs" dxfId="117" priority="119" operator="greaterThan">
      <formula>0</formula>
    </cfRule>
  </conditionalFormatting>
  <conditionalFormatting sqref="F20">
    <cfRule type="cellIs" dxfId="116" priority="116" operator="greaterThan">
      <formula>0</formula>
    </cfRule>
    <cfRule type="cellIs" dxfId="115" priority="117" operator="greaterThan">
      <formula>0</formula>
    </cfRule>
    <cfRule type="cellIs" dxfId="114" priority="118" operator="greaterThan">
      <formula>" € - "</formula>
    </cfRule>
  </conditionalFormatting>
  <conditionalFormatting sqref="F20">
    <cfRule type="cellIs" dxfId="113" priority="111" operator="greaterThan">
      <formula>0</formula>
    </cfRule>
    <cfRule type="cellIs" dxfId="112" priority="112" operator="greaterThan">
      <formula>0</formula>
    </cfRule>
    <cfRule type="cellIs" dxfId="111" priority="113" operator="greaterThan">
      <formula>0</formula>
    </cfRule>
    <cfRule type="cellIs" dxfId="110" priority="114" operator="greaterThan">
      <formula>0</formula>
    </cfRule>
    <cfRule type="cellIs" dxfId="109" priority="115" operator="greaterThan">
      <formula>0</formula>
    </cfRule>
  </conditionalFormatting>
  <conditionalFormatting sqref="F20">
    <cfRule type="cellIs" dxfId="108" priority="110" operator="greaterThan">
      <formula>0</formula>
    </cfRule>
  </conditionalFormatting>
  <conditionalFormatting sqref="F22">
    <cfRule type="cellIs" dxfId="107" priority="107" operator="greaterThan">
      <formula>0</formula>
    </cfRule>
    <cfRule type="cellIs" dxfId="106" priority="108" operator="greaterThan">
      <formula>0</formula>
    </cfRule>
    <cfRule type="cellIs" dxfId="105" priority="109" operator="greaterThan">
      <formula>" € - "</formula>
    </cfRule>
  </conditionalFormatting>
  <conditionalFormatting sqref="F22">
    <cfRule type="cellIs" dxfId="104" priority="102" operator="greaterThan">
      <formula>0</formula>
    </cfRule>
    <cfRule type="cellIs" dxfId="103" priority="103" operator="greaterThan">
      <formula>0</formula>
    </cfRule>
    <cfRule type="cellIs" dxfId="102" priority="104" operator="greaterThan">
      <formula>0</formula>
    </cfRule>
    <cfRule type="cellIs" dxfId="101" priority="105" operator="greaterThan">
      <formula>0</formula>
    </cfRule>
    <cfRule type="cellIs" dxfId="100" priority="106" operator="greaterThan">
      <formula>0</formula>
    </cfRule>
  </conditionalFormatting>
  <conditionalFormatting sqref="F22">
    <cfRule type="cellIs" dxfId="99" priority="101" operator="greaterThan">
      <formula>0</formula>
    </cfRule>
  </conditionalFormatting>
  <conditionalFormatting sqref="F24">
    <cfRule type="cellIs" dxfId="98" priority="98" operator="greaterThan">
      <formula>0</formula>
    </cfRule>
    <cfRule type="cellIs" dxfId="97" priority="99" operator="greaterThan">
      <formula>0</formula>
    </cfRule>
    <cfRule type="cellIs" dxfId="96" priority="100" operator="greaterThan">
      <formula>" € - "</formula>
    </cfRule>
  </conditionalFormatting>
  <conditionalFormatting sqref="F24">
    <cfRule type="cellIs" dxfId="95" priority="93" operator="greaterThan">
      <formula>0</formula>
    </cfRule>
    <cfRule type="cellIs" dxfId="94" priority="94" operator="greaterThan">
      <formula>0</formula>
    </cfRule>
    <cfRule type="cellIs" dxfId="93" priority="95" operator="greaterThan">
      <formula>0</formula>
    </cfRule>
    <cfRule type="cellIs" dxfId="92" priority="96" operator="greaterThan">
      <formula>0</formula>
    </cfRule>
    <cfRule type="cellIs" dxfId="91" priority="97" operator="greaterThan">
      <formula>0</formula>
    </cfRule>
  </conditionalFormatting>
  <conditionalFormatting sqref="F24">
    <cfRule type="cellIs" dxfId="90" priority="92" operator="greaterThan">
      <formula>0</formula>
    </cfRule>
  </conditionalFormatting>
  <conditionalFormatting sqref="G6">
    <cfRule type="cellIs" dxfId="89" priority="89" operator="greaterThan">
      <formula>0</formula>
    </cfRule>
    <cfRule type="cellIs" dxfId="88" priority="90" operator="greaterThan">
      <formula>0</formula>
    </cfRule>
    <cfRule type="cellIs" dxfId="87" priority="91" operator="greaterThan">
      <formula>" € - "</formula>
    </cfRule>
  </conditionalFormatting>
  <conditionalFormatting sqref="G6">
    <cfRule type="cellIs" dxfId="86" priority="84" operator="greaterThan">
      <formula>0</formula>
    </cfRule>
    <cfRule type="cellIs" dxfId="85" priority="85" operator="greaterThan">
      <formula>0</formula>
    </cfRule>
    <cfRule type="cellIs" dxfId="84" priority="86" operator="greaterThan">
      <formula>0</formula>
    </cfRule>
    <cfRule type="cellIs" dxfId="83" priority="87" operator="greaterThan">
      <formula>0</formula>
    </cfRule>
    <cfRule type="cellIs" dxfId="82" priority="88" operator="greaterThan">
      <formula>0</formula>
    </cfRule>
  </conditionalFormatting>
  <conditionalFormatting sqref="G6">
    <cfRule type="cellIs" dxfId="81" priority="83" operator="greaterThan">
      <formula>0</formula>
    </cfRule>
  </conditionalFormatting>
  <conditionalFormatting sqref="G8">
    <cfRule type="cellIs" dxfId="80" priority="80" operator="greaterThan">
      <formula>0</formula>
    </cfRule>
    <cfRule type="cellIs" dxfId="79" priority="81" operator="greaterThan">
      <formula>0</formula>
    </cfRule>
    <cfRule type="cellIs" dxfId="78" priority="82" operator="greaterThan">
      <formula>" € - "</formula>
    </cfRule>
  </conditionalFormatting>
  <conditionalFormatting sqref="G8">
    <cfRule type="cellIs" dxfId="77" priority="75" operator="greaterThan">
      <formula>0</formula>
    </cfRule>
    <cfRule type="cellIs" dxfId="76" priority="76" operator="greaterThan">
      <formula>0</formula>
    </cfRule>
    <cfRule type="cellIs" dxfId="75" priority="77" operator="greaterThan">
      <formula>0</formula>
    </cfRule>
    <cfRule type="cellIs" dxfId="74" priority="78" operator="greaterThan">
      <formula>0</formula>
    </cfRule>
    <cfRule type="cellIs" dxfId="73" priority="79" operator="greaterThan">
      <formula>0</formula>
    </cfRule>
  </conditionalFormatting>
  <conditionalFormatting sqref="G8">
    <cfRule type="cellIs" dxfId="72" priority="74" operator="greaterThan">
      <formula>0</formula>
    </cfRule>
  </conditionalFormatting>
  <conditionalFormatting sqref="G10">
    <cfRule type="cellIs" dxfId="71" priority="71" operator="greaterThan">
      <formula>0</formula>
    </cfRule>
    <cfRule type="cellIs" dxfId="70" priority="72" operator="greaterThan">
      <formula>0</formula>
    </cfRule>
    <cfRule type="cellIs" dxfId="69" priority="73" operator="greaterThan">
      <formula>" € - "</formula>
    </cfRule>
  </conditionalFormatting>
  <conditionalFormatting sqref="G10">
    <cfRule type="cellIs" dxfId="68" priority="66" operator="greaterThan">
      <formula>0</formula>
    </cfRule>
    <cfRule type="cellIs" dxfId="67" priority="67" operator="greaterThan">
      <formula>0</formula>
    </cfRule>
    <cfRule type="cellIs" dxfId="66" priority="68" operator="greaterThan">
      <formula>0</formula>
    </cfRule>
    <cfRule type="cellIs" dxfId="65" priority="69" operator="greaterThan">
      <formula>0</formula>
    </cfRule>
    <cfRule type="cellIs" dxfId="64" priority="70" operator="greaterThan">
      <formula>0</formula>
    </cfRule>
  </conditionalFormatting>
  <conditionalFormatting sqref="G10">
    <cfRule type="cellIs" dxfId="63" priority="65" operator="greaterThan">
      <formula>0</formula>
    </cfRule>
  </conditionalFormatting>
  <conditionalFormatting sqref="G12">
    <cfRule type="cellIs" dxfId="62" priority="62" operator="greaterThan">
      <formula>0</formula>
    </cfRule>
    <cfRule type="cellIs" dxfId="61" priority="63" operator="greaterThan">
      <formula>0</formula>
    </cfRule>
    <cfRule type="cellIs" dxfId="60" priority="64" operator="greaterThan">
      <formula>" € - "</formula>
    </cfRule>
  </conditionalFormatting>
  <conditionalFormatting sqref="G12">
    <cfRule type="cellIs" dxfId="59" priority="57" operator="greaterThan">
      <formula>0</formula>
    </cfRule>
    <cfRule type="cellIs" dxfId="58" priority="58" operator="greaterThan">
      <formula>0</formula>
    </cfRule>
    <cfRule type="cellIs" dxfId="57" priority="59" operator="greaterThan">
      <formula>0</formula>
    </cfRule>
    <cfRule type="cellIs" dxfId="56" priority="60" operator="greaterThan">
      <formula>0</formula>
    </cfRule>
    <cfRule type="cellIs" dxfId="55" priority="61" operator="greaterThan">
      <formula>0</formula>
    </cfRule>
  </conditionalFormatting>
  <conditionalFormatting sqref="G12">
    <cfRule type="cellIs" dxfId="54" priority="56" operator="greaterThan">
      <formula>0</formula>
    </cfRule>
  </conditionalFormatting>
  <conditionalFormatting sqref="G14">
    <cfRule type="cellIs" dxfId="53" priority="53" operator="greaterThan">
      <formula>0</formula>
    </cfRule>
    <cfRule type="cellIs" dxfId="52" priority="54" operator="greaterThan">
      <formula>0</formula>
    </cfRule>
    <cfRule type="cellIs" dxfId="51" priority="55" operator="greaterThan">
      <formula>" € - "</formula>
    </cfRule>
  </conditionalFormatting>
  <conditionalFormatting sqref="G14">
    <cfRule type="cellIs" dxfId="50" priority="48" operator="greaterThan">
      <formula>0</formula>
    </cfRule>
    <cfRule type="cellIs" dxfId="49" priority="49" operator="greaterThan">
      <formula>0</formula>
    </cfRule>
    <cfRule type="cellIs" dxfId="48" priority="50" operator="greaterThan">
      <formula>0</formula>
    </cfRule>
    <cfRule type="cellIs" dxfId="47" priority="51" operator="greaterThan">
      <formula>0</formula>
    </cfRule>
    <cfRule type="cellIs" dxfId="46" priority="52" operator="greaterThan">
      <formula>0</formula>
    </cfRule>
  </conditionalFormatting>
  <conditionalFormatting sqref="G14">
    <cfRule type="cellIs" dxfId="45" priority="47" operator="greaterThan">
      <formula>0</formula>
    </cfRule>
  </conditionalFormatting>
  <conditionalFormatting sqref="G16">
    <cfRule type="cellIs" dxfId="44" priority="44" operator="greaterThan">
      <formula>0</formula>
    </cfRule>
    <cfRule type="cellIs" dxfId="43" priority="45" operator="greaterThan">
      <formula>0</formula>
    </cfRule>
    <cfRule type="cellIs" dxfId="42" priority="46" operator="greaterThan">
      <formula>" € - "</formula>
    </cfRule>
  </conditionalFormatting>
  <conditionalFormatting sqref="G16">
    <cfRule type="cellIs" dxfId="41" priority="39" operator="greaterThan">
      <formula>0</formula>
    </cfRule>
    <cfRule type="cellIs" dxfId="40" priority="40" operator="greaterThan">
      <formula>0</formula>
    </cfRule>
    <cfRule type="cellIs" dxfId="39" priority="41" operator="greaterThan">
      <formula>0</formula>
    </cfRule>
    <cfRule type="cellIs" dxfId="38" priority="42" operator="greaterThan">
      <formula>0</formula>
    </cfRule>
    <cfRule type="cellIs" dxfId="37" priority="43" operator="greaterThan">
      <formula>0</formula>
    </cfRule>
  </conditionalFormatting>
  <conditionalFormatting sqref="G16">
    <cfRule type="cellIs" dxfId="36" priority="38" operator="greaterThan">
      <formula>0</formula>
    </cfRule>
  </conditionalFormatting>
  <conditionalFormatting sqref="G18">
    <cfRule type="cellIs" dxfId="35" priority="35" operator="greaterThan">
      <formula>0</formula>
    </cfRule>
    <cfRule type="cellIs" dxfId="34" priority="36" operator="greaterThan">
      <formula>0</formula>
    </cfRule>
    <cfRule type="cellIs" dxfId="33" priority="37" operator="greaterThan">
      <formula>" € - "</formula>
    </cfRule>
  </conditionalFormatting>
  <conditionalFormatting sqref="G18">
    <cfRule type="cellIs" dxfId="32" priority="30" operator="greaterThan">
      <formula>0</formula>
    </cfRule>
    <cfRule type="cellIs" dxfId="31" priority="31" operator="greaterThan">
      <formula>0</formula>
    </cfRule>
    <cfRule type="cellIs" dxfId="30" priority="32" operator="greaterThan">
      <formula>0</formula>
    </cfRule>
    <cfRule type="cellIs" dxfId="29" priority="33" operator="greaterThan">
      <formula>0</formula>
    </cfRule>
    <cfRule type="cellIs" dxfId="28" priority="34" operator="greaterThan">
      <formula>0</formula>
    </cfRule>
  </conditionalFormatting>
  <conditionalFormatting sqref="G18">
    <cfRule type="cellIs" dxfId="27" priority="29" operator="greaterThan">
      <formula>0</formula>
    </cfRule>
  </conditionalFormatting>
  <conditionalFormatting sqref="G20">
    <cfRule type="cellIs" dxfId="26" priority="26" operator="greaterThan">
      <formula>0</formula>
    </cfRule>
    <cfRule type="cellIs" dxfId="25" priority="27" operator="greaterThan">
      <formula>0</formula>
    </cfRule>
    <cfRule type="cellIs" dxfId="24" priority="28" operator="greaterThan">
      <formula>" € - "</formula>
    </cfRule>
  </conditionalFormatting>
  <conditionalFormatting sqref="G20">
    <cfRule type="cellIs" dxfId="23" priority="21" operator="greaterThan">
      <formula>0</formula>
    </cfRule>
    <cfRule type="cellIs" dxfId="22" priority="22" operator="greaterThan">
      <formula>0</formula>
    </cfRule>
    <cfRule type="cellIs" dxfId="21" priority="23" operator="greaterThan">
      <formula>0</formula>
    </cfRule>
    <cfRule type="cellIs" dxfId="20" priority="24" operator="greaterThan">
      <formula>0</formula>
    </cfRule>
    <cfRule type="cellIs" dxfId="19" priority="25" operator="greaterThan">
      <formula>0</formula>
    </cfRule>
  </conditionalFormatting>
  <conditionalFormatting sqref="G20">
    <cfRule type="cellIs" dxfId="18" priority="20" operator="greaterThan">
      <formula>0</formula>
    </cfRule>
  </conditionalFormatting>
  <conditionalFormatting sqref="G22">
    <cfRule type="cellIs" dxfId="17" priority="17" operator="greaterThan">
      <formula>0</formula>
    </cfRule>
    <cfRule type="cellIs" dxfId="16" priority="18" operator="greaterThan">
      <formula>0</formula>
    </cfRule>
    <cfRule type="cellIs" dxfId="15" priority="19" operator="greaterThan">
      <formula>" € - "</formula>
    </cfRule>
  </conditionalFormatting>
  <conditionalFormatting sqref="G22">
    <cfRule type="cellIs" dxfId="14" priority="12" operator="greaterThan">
      <formula>0</formula>
    </cfRule>
    <cfRule type="cellIs" dxfId="13" priority="13" operator="greaterThan">
      <formula>0</formula>
    </cfRule>
    <cfRule type="cellIs" dxfId="12" priority="14" operator="greaterThan">
      <formula>0</formula>
    </cfRule>
    <cfRule type="cellIs" dxfId="11" priority="15" operator="greaterThan">
      <formula>0</formula>
    </cfRule>
    <cfRule type="cellIs" dxfId="10" priority="16" operator="greaterThan">
      <formula>0</formula>
    </cfRule>
  </conditionalFormatting>
  <conditionalFormatting sqref="G22">
    <cfRule type="cellIs" dxfId="9" priority="11" operator="greaterThan">
      <formula>0</formula>
    </cfRule>
  </conditionalFormatting>
  <conditionalFormatting sqref="G24">
    <cfRule type="cellIs" dxfId="8" priority="8" operator="greaterThan">
      <formula>0</formula>
    </cfRule>
    <cfRule type="cellIs" dxfId="7" priority="9" operator="greaterThan">
      <formula>0</formula>
    </cfRule>
    <cfRule type="cellIs" dxfId="6" priority="10" operator="greaterThan">
      <formula>" € - "</formula>
    </cfRule>
  </conditionalFormatting>
  <conditionalFormatting sqref="G24">
    <cfRule type="cellIs" dxfId="5" priority="3" operator="greaterThan">
      <formula>0</formula>
    </cfRule>
    <cfRule type="cellIs" dxfId="4" priority="4" operator="greaterThan">
      <formula>0</formula>
    </cfRule>
    <cfRule type="cellIs" dxfId="3" priority="5" operator="greaterThan">
      <formula>0</formula>
    </cfRule>
    <cfRule type="cellIs" dxfId="2" priority="6" operator="greaterThan">
      <formula>0</formula>
    </cfRule>
    <cfRule type="cellIs" dxfId="1" priority="7" operator="greaterThan">
      <formula>0</formula>
    </cfRule>
  </conditionalFormatting>
  <conditionalFormatting sqref="G24">
    <cfRule type="cellIs" dxfId="0" priority="2" operator="greaterThan">
      <formula>0</formula>
    </cfRule>
  </conditionalFormatting>
  <dataValidations xWindow="119" yWindow="243" count="36">
    <dataValidation type="decimal" operator="lessThanOrEqual" allowBlank="1" showInputMessage="1" showErrorMessage="1" errorTitle="Fout teken" error="U hebt een positief bedrag ingevuld" promptTitle="Omvang investeringen" prompt="Voer een negatief bedrag in voor de investeringen in (im-)materiele activa inclusief bijdragen aan activa van derden van het begrotingsjaar 2018. " sqref="C6">
      <formula1>0</formula1>
    </dataValidation>
    <dataValidation type="whole" operator="greaterThanOrEqual" allowBlank="1" showInputMessage="1" showErrorMessage="1" promptTitle="Verkoop (im-)materiele activa" prompt="Voor een positief bedrag in voor de bruto verkoopopbrengst uit de verkoop van (im-)materiele activa in het begrotingsjaar 2018. _x000a_Vul pas er na de boekwinst of het boekverlies in op het blad Balansprognose." sqref="C7">
      <formula1>0</formula1>
    </dataValidation>
    <dataValidation type="whole" operator="lessThanOrEqual" allowBlank="1" showInputMessage="1" showErrorMessage="1" errorTitle="Fout teken" error="U hebt een positief bedrag ingevuld" promptTitle="Nieuwe kapitaalverstrekkingen" prompt="Voer het bedrag (negatief) in voor de nieuwe kapitaalverstrekkingen aan verbonden partijen en aan derden in het begrotingsjaar 2017." sqref="H6">
      <formula1>0</formula1>
    </dataValidation>
    <dataValidation type="whole" operator="greaterThanOrEqual" allowBlank="1" showInputMessage="1" showErrorMessage="1" errorTitle="Fout teken" error="U hebt een negatief bedrag ingevuld. Een boekverlies vult u in op het blad Balansprognose " promptTitle="Verkoop deelnemingen" prompt="Voer het bedrag (positief) in voor de bruto opbrengst uit de verkoop of liquidatie van deelnemingen in het begrotingsjaar 2017. Vul pas er na de boekwinst of het boekverlies in op het blad Balansprognose. " sqref="H7">
      <formula1>0</formula1>
    </dataValidation>
    <dataValidation operator="lessThanOrEqual" allowBlank="1" showInputMessage="1" showErrorMessage="1" errorTitle="Fout teken" error="U hebt een positief bedrag ingevuld " promptTitle="Investeringen bouwgrond" prompt="Voer het bedrag (negatief) in voor de investeringen in de aankoop van grond (niet in exploitatie). Vul pas er na op het blad Balansprognose de afname van niet in exploitatie genomen (bouw-)grond door overboeking naar onderhanden werk._x000a_ " sqref="D10 D8"/>
    <dataValidation type="decimal" operator="greaterThanOrEqual" allowBlank="1" showInputMessage="1" showErrorMessage="1" errorTitle="Foutieve invoer" error="U hebt een negatief bedrag ingevuld." promptTitle="Aflossing uitgezette leningen  " prompt="Vul het bedrag (positief) aan aflossingen in 2018 op verstrekte leningen aan verbonden partijen in. Nieuwe leningen aan verbonden partijen in 2018 moet u op het blad Balansprognose invullen." sqref="C30">
      <formula1>0</formula1>
    </dataValidation>
    <dataValidation type="decimal" operator="greaterThanOrEqual" allowBlank="1" showInputMessage="1" showErrorMessage="1" errorTitle="Foutieve invoer" error="U hebt een negatief bedrag ingevuld." promptTitle="Aflossing uitgezette leningen" prompt="Vul het bedrag (positief) aan aflossingen in 2018 op leningen aan derden in. Nieuwe leningen aan derden in 2018 moet u op het blad Balansprognose invullen." sqref="D30">
      <formula1>0</formula1>
    </dataValidation>
    <dataValidation type="whole" operator="greaterThanOrEqual" allowBlank="1" showInputMessage="1" showErrorMessage="1" errorTitle="Foutieve invoer" error="U hebt een negatief bedrag ingevuld." promptTitle="Vrijval langlopende uitzettingen" prompt="Vul het bedrag (positief) in aan langlopende uitzettingen dat in 2018 vrijvalt.  Nieuwe langlopende uitzettingen in 2018 moet u op het blad Balansprognose invullen." sqref="E30">
      <formula1>0</formula1>
    </dataValidation>
    <dataValidation allowBlank="1" showInputMessage="1" showErrorMessage="1" promptTitle="Mutatie kortlopende vorderingen" prompt="Vul het bedrag in van de mutatie Kort lopende vorderingen voor het bepalen van de eindbalans 2018. Bij toename negatief bedrag invullen. Bij afname positief bedrag invullen. Bij geen idee kan dit veld leeg worden gelaten." sqref="F30"/>
    <dataValidation allowBlank="1" showInputMessage="1" showErrorMessage="1" promptTitle="Mutatie liquide middelen " prompt="Vul het bedrag in van de mutatie Liquide middelen &amp; uitzettingen kort voor het bepalen van de eindbalans 2018. Bij toename negatief bedrag invullen. Bij afname positief bedrag invullen. Bij geen idee kan dit veld leeg worden gelaten. " sqref="G30"/>
    <dataValidation allowBlank="1" showInputMessage="1" showErrorMessage="1" promptTitle="Mutatie overlopende activa" prompt="Vul het bedrag in van de mutatie Overlopende activa voor het bepalen van de eindbalans 2018. Bij toename negatief bedrag invullen. Bij afname positief bedrag invullen. Bij geen idee kan dit veld leeg worden gelaten._x000a__x000a_" sqref="H30"/>
    <dataValidation allowBlank="1" showInputMessage="1" showErrorMessage="1" promptTitle="Mutatie kortlopende leningen" prompt="Vul het bedrag in van de mutatie kortlopende schulden voor het bepalen van de stand eindbalans 2018. Bij toename positief bedrag invullen. Bij afname negatief bedrag invullen. Bij geen idee kan dit veld leeg worden gelaten." sqref="K30"/>
    <dataValidation allowBlank="1" showInputMessage="1" showErrorMessage="1" promptTitle="Mutatie crediteuren" prompt="Vul het bedrag in van de mutatie crediteuren voor het bepalen van de stand eindbalans 2018. Bij toename positief bedrag invullen. Bij afname negatief bedrag invullen. Bij geen idee kan dit veld leeg worden gelaten.  " sqref="L30"/>
    <dataValidation allowBlank="1" showInputMessage="1" showErrorMessage="1" promptTitle="Mutatie overlopende passiva" prompt="Vul het bedrag in van de mutatie overlopende passiva voor het bepalen van de stand eindbalans 2018. Bij toename positief bedrag invullen. Bij afname negatief bedrag invullen. Bij geen idee kan dit veld leeg worden gelaten. " sqref="M30"/>
    <dataValidation allowBlank="1" showInputMessage="1" showErrorMessage="1" promptTitle="Rente leningen verb. partijen" prompt="Rentepercentage is een schatting van het gemiddelde percentage voor rente op verstrekte leningen aan verbonden partijen. Vervang het percentage bij afwijking van het werkelijke rentepercentage van de te ontvangen rente." sqref="C31"/>
    <dataValidation allowBlank="1" showInputMessage="1" showErrorMessage="1" promptTitle="Rente leningen derden" prompt="Rentepercentage is een schatting van het gemiddelde percentage voor de rente op versterkte leningen aan derden. Vervang het percentage bij afwijking van het werkelijke rentepercentage van de te ontvangen rente.     " sqref="D31"/>
    <dataValidation allowBlank="1" showInputMessage="1" showErrorMessage="1" promptTitle="Rente langlopende uitzettingen" prompt="Rentepercentage is een schatting van het  gemiddelde percentage van de rente op langlopende uitzettingen. Vervang het percentage bij afwijking van het werkelijke rentepercentage voor de te ontvangen rente." sqref="E31"/>
    <dataValidation allowBlank="1" showInputMessage="1" showErrorMessage="1" promptTitle="Rente onderhandse leningen" prompt="Rentepercentage is een schatting voor het gemiddelde percentage aan te betalen rente op onderhandse leningen. Vervang het percentage bij afwijking van het werkelijke rentepercentage voor de te betalen rente. " sqref="I31"/>
    <dataValidation allowBlank="1" showInputMessage="1" showErrorMessage="1" promptTitle="Rente overige vaste schuld" prompt="Rentepercentage is een schatting voor het gemiddelde percentage voor de te betalen rente op de Overige vaste schuld. Vervang het percentage bij afwijking van het werkelijke rentepercentage voor de te betalen rente.  " sqref="J31"/>
    <dataValidation type="whole" operator="greaterThanOrEqual" allowBlank="1" showInputMessage="1" showErrorMessage="1" errorTitle="Fout teken" error="U hebt een negatiefg bedrag ingevuld" promptTitle="Opbrengst bouwgrondexploitatie " prompt="Vul een positief bedrag in voor de verwachte overboeking van niet in exploitatie genomen grond naar onderhanden werk (exclusief de waardestijging). Vul erna op het blad Balansprognose linksonder de waardestijging bij deze overboeking in. " sqref="D7">
      <formula1>0</formula1>
    </dataValidation>
    <dataValidation type="whole" operator="greaterThanOrEqual" allowBlank="1" showInputMessage="1" showErrorMessage="1" errorTitle="Foutieve invoer" error="U hebt een negatief bedrag ingevuld. Een boekverlies vult u in op het blad Balansprognose." promptTitle="Verkoop deelnemingen" prompt="Vul voor de bruto opbrengst uit de verkoop of liquidatie van deelnemingen in 2018 een positief bedrag in. Vul erna de boekwinst of het boekverlies in op het blad Balansprognose. " sqref="G7">
      <formula1>0</formula1>
    </dataValidation>
    <dataValidation type="decimal" operator="lessThanOrEqual" allowBlank="1" showInputMessage="1" showErrorMessage="1" errorTitle="Fout teken" error="U hebt een positief bedrag ingevuld " promptTitle="Investeringen bouwgrond" prompt="Vul een negatief bedrag in voor de aankoop van strategische gronden / bouwgronden." sqref="D6">
      <formula1>0</formula1>
    </dataValidation>
    <dataValidation type="whole" operator="lessThanOrEqual" allowBlank="1" showInputMessage="1" showErrorMessage="1" promptTitle="Investering" prompt="Vul voor de investeringen in kapitaalverstrekkingen in 2018 een negatief bedrag in." sqref="G6">
      <formula1>0</formula1>
    </dataValidation>
    <dataValidation type="whole" operator="greaterThanOrEqual" allowBlank="1" showInputMessage="1" showErrorMessage="1" promptTitle="Aflossing uitgezette leningen" prompt="Vul een positief bedrag in voor de aflossingen op leningen aan verbonden partijen in 2018. Vul erna op het blad Balansprognose de verstrekking van nieuwe leningen aan verbonden partijen in." sqref="C54">
      <formula1>0</formula1>
    </dataValidation>
    <dataValidation type="whole" operator="greaterThanOrEqual" allowBlank="1" showInputMessage="1" showErrorMessage="1" promptTitle="Aflossing uitgezette leningen" prompt="Vul een positief bedrag in voor de aflossingen op de verstrekte leningen aan derden in 2018. Vul erna op het blad Balansprognose de verstrekking van nieuwe leningen aan derden in. " sqref="D54">
      <formula1>0</formula1>
    </dataValidation>
    <dataValidation type="whole" operator="greaterThanOrEqual" allowBlank="1" showInputMessage="1" showErrorMessage="1" promptTitle="Vrijval lanlopende uitzettingen" prompt="Vul een positief bedrag in voor de langlopende uitzettingen die in 2018 vrijvallen. Vul erna op het blad Balansprognose het bedrag van de nieuwe langlopende uitzettingen in.  " sqref="E54">
      <formula1>0</formula1>
    </dataValidation>
    <dataValidation allowBlank="1" showInputMessage="1" showErrorMessage="1" promptTitle="Mutatie vorderingen" prompt="Vul het bedrag in waarmee de vorderingen in 2018 muteren. Vul voor een afname een posief bedrag in. Vul voor een toename van de vorderingen een negatief bedrag in." sqref="F54"/>
    <dataValidation allowBlank="1" showInputMessage="1" showErrorMessage="1" promptTitle="Mutatie liquide middelen" prompt="Vul het bedrag in waarmee de omvang van de kortlopende uitzettingen en liquide middelen in 2018 muteren. Vul bij een afname een positief bedrag in. Vul bij een toename een negatief bedrag in. " sqref="G54"/>
    <dataValidation allowBlank="1" showInputMessage="1" showErrorMessage="1" promptTitle="Mutatie overlopende activa" prompt="Vul het bedrag in waarmee de overlopende activa in 2018 muteren. Vul voor een afname een positief bedrag in. Vul voor een toename een negatief bedrag in." sqref="H54"/>
    <dataValidation allowBlank="1" showInputMessage="1" showErrorMessage="1" promptTitle="Mutatie kortlopende schulden" prompt="Vul het bedrag in waarmee de kortlopende schulden inclusief rekeningcourant kredieten in 2018 muteren. Vul voor een toename een positief bedrag in. Voer voor een afname een negatief bedrag in.  " sqref="K54"/>
    <dataValidation allowBlank="1" showInputMessage="1" showErrorMessage="1" promptTitle="Mutatie crediteuren" prompt="Vul het bedrag in van de mutatie van de crediteuren in 2018. Vul bij een toename een positief bedrag in. Vul bij een afname een negatief bedrag in.   " sqref="L54"/>
    <dataValidation allowBlank="1" showInputMessage="1" showErrorMessage="1" promptTitle="Mutatie overlopende passiva" prompt="Vul het bedrag in waarmee de overlopende passiva muteren in 2018. Vul bij een toename een positief bedrag in. Vul bij een afname een negatief bedrag in." sqref="M54"/>
    <dataValidation allowBlank="1" showInputMessage="1" showErrorMessage="1" promptTitle="Investeringen onderhanden werk" prompt="Vul voor de investeringen in onderhanden werk bouwgrondexploitatie in 2018 een negatief bedrag in." sqref="E6"/>
    <dataValidation allowBlank="1" showInputMessage="1" showErrorMessage="1" promptTitle="Opbrengst bouwgrondexploitatie" prompt="Vul voor de bruto opbrengsten uit de bouwgrondexploitatie in 2018 een positief bedrag in. Vul erna op het blad Balansprognose de afname van de voorraad onderhanden werk bouwgrondexploitatie in." sqref="E7"/>
    <dataValidation allowBlank="1" showInputMessage="1" showErrorMessage="1" promptTitle="Uitgaven nieuwe voorraden" prompt="Vul voor de uitgaven in 2018 voor het aanvullen van de overige voorraden een negatief bedrag in." sqref="F6"/>
    <dataValidation allowBlank="1" showInputMessage="1" showErrorMessage="1" promptTitle="Afname overige voorraden" prompt="Vul voor het verbruik van de overige voorraden in 2018 een positief bedrag in." sqref="F7"/>
  </dataValidations>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3"/>
  <sheetViews>
    <sheetView showGridLines="0" topLeftCell="A55" zoomScale="80" zoomScaleNormal="80" workbookViewId="0">
      <selection activeCell="G57" sqref="G57"/>
    </sheetView>
  </sheetViews>
  <sheetFormatPr defaultColWidth="9.140625" defaultRowHeight="12.75" x14ac:dyDescent="0.2"/>
  <cols>
    <col min="1" max="1" width="3" style="3" customWidth="1"/>
    <col min="2" max="2" width="96.7109375" style="3" bestFit="1" customWidth="1"/>
    <col min="3" max="3" width="17.85546875" style="3" bestFit="1" customWidth="1"/>
    <col min="4" max="4" width="9.140625" style="3" customWidth="1"/>
    <col min="5" max="5" width="3.42578125" style="3" customWidth="1"/>
    <col min="6" max="6" width="82.7109375" style="3" customWidth="1"/>
    <col min="7" max="7" width="18.42578125" style="3" customWidth="1"/>
    <col min="8" max="8" width="18.7109375" style="3" hidden="1" customWidth="1"/>
    <col min="9" max="9" width="39.28515625" style="3" hidden="1" customWidth="1"/>
    <col min="10" max="10" width="18.7109375" style="3" hidden="1" customWidth="1"/>
    <col min="11" max="11" width="40.28515625" style="3" hidden="1" customWidth="1"/>
    <col min="12" max="12" width="33.85546875" style="3" hidden="1" customWidth="1"/>
    <col min="13" max="13" width="18.7109375" style="3" hidden="1" customWidth="1"/>
    <col min="14" max="14" width="23.42578125" style="3" hidden="1" customWidth="1"/>
    <col min="15" max="15" width="18.7109375" style="3" customWidth="1"/>
    <col min="16" max="16" width="45.85546875" style="3" bestFit="1" customWidth="1"/>
    <col min="17" max="17" width="13.28515625" style="3" bestFit="1" customWidth="1"/>
    <col min="18" max="18" width="37.7109375" style="3" bestFit="1" customWidth="1"/>
    <col min="19" max="26" width="9.140625" style="3" customWidth="1"/>
    <col min="27" max="16384" width="9.140625" style="3"/>
  </cols>
  <sheetData>
    <row r="1" spans="1:19" x14ac:dyDescent="0.2">
      <c r="A1" s="294" t="s">
        <v>99</v>
      </c>
      <c r="B1" s="294"/>
      <c r="C1" s="1">
        <f>Macrogegevens!C1</f>
        <v>2018</v>
      </c>
      <c r="D1" s="1"/>
      <c r="E1" s="1" t="s">
        <v>100</v>
      </c>
      <c r="F1" s="1"/>
      <c r="G1" s="1">
        <f>Macrogegevens!C1</f>
        <v>2018</v>
      </c>
      <c r="H1" s="2"/>
      <c r="I1" s="2" t="s">
        <v>0</v>
      </c>
      <c r="L1" s="2" t="s">
        <v>31</v>
      </c>
      <c r="P1" s="182" t="s">
        <v>626</v>
      </c>
      <c r="Q1" s="183"/>
      <c r="R1" s="5"/>
      <c r="S1" s="5"/>
    </row>
    <row r="2" spans="1:19" x14ac:dyDescent="0.2">
      <c r="A2" s="1" t="s">
        <v>4</v>
      </c>
      <c r="B2" s="1" t="s">
        <v>799</v>
      </c>
      <c r="C2" s="4">
        <f>SUM(1,J10,J3,J6*J11)</f>
        <v>1.0413421701862049</v>
      </c>
      <c r="D2" s="5"/>
      <c r="E2" s="1" t="s">
        <v>4</v>
      </c>
      <c r="F2" s="1" t="s">
        <v>106</v>
      </c>
      <c r="G2" s="6">
        <f>SUM(1,J4,J6)</f>
        <v>1.0342650623257998</v>
      </c>
      <c r="I2" s="3" t="s">
        <v>1</v>
      </c>
      <c r="J2" s="8">
        <f>Macrogegevens!C4</f>
        <v>1.7000000000000001E-2</v>
      </c>
      <c r="L2" s="3" t="s">
        <v>814</v>
      </c>
      <c r="M2" s="21">
        <f>Macrogegevens!G3</f>
        <v>0.12</v>
      </c>
      <c r="N2" s="21">
        <f>SUM(1,-M2)</f>
        <v>0.88</v>
      </c>
      <c r="P2" s="184" t="s">
        <v>610</v>
      </c>
      <c r="Q2" s="4">
        <f>SUM(C3,C4,C5,C6,C7,C35,C36,C37,C46,C54,C55,C69,C70)/C89</f>
        <v>0.52178547418403154</v>
      </c>
      <c r="R2" s="5" t="s">
        <v>75</v>
      </c>
      <c r="S2" s="209">
        <f>C3/C89</f>
        <v>0.31237893909908737</v>
      </c>
    </row>
    <row r="3" spans="1:19" x14ac:dyDescent="0.2">
      <c r="A3" s="5">
        <v>1</v>
      </c>
      <c r="B3" s="5" t="s">
        <v>75</v>
      </c>
      <c r="C3" s="13">
        <f>VLOOKUP(Macrogegevens!C2,'Inkomsten 2018'!B2:D394,3,0)</f>
        <v>72202330.846545756</v>
      </c>
      <c r="D3" s="5"/>
      <c r="E3" s="5">
        <v>1</v>
      </c>
      <c r="F3" s="5" t="s">
        <v>87</v>
      </c>
      <c r="G3" s="13">
        <v>0</v>
      </c>
      <c r="I3" s="3" t="s">
        <v>592</v>
      </c>
      <c r="J3" s="8">
        <f>SUM(Macrogegevens!C6,-J5)</f>
        <v>1.3900000000000001E-2</v>
      </c>
      <c r="L3" s="3" t="s">
        <v>815</v>
      </c>
      <c r="M3" s="21">
        <f>Macrogegevens!G4</f>
        <v>0.12</v>
      </c>
      <c r="N3" s="21">
        <f>SUM(1,-M3)</f>
        <v>0.88</v>
      </c>
      <c r="P3" s="185" t="s">
        <v>603</v>
      </c>
      <c r="Q3" s="4">
        <f>SUM(C25,C76)/C89</f>
        <v>8.956592843205545E-2</v>
      </c>
      <c r="R3" s="185" t="s">
        <v>755</v>
      </c>
      <c r="S3" s="209">
        <f>SUM(C4,C5,C6,C7,C36,C37,C69,C70)/C89</f>
        <v>0.11671496255436715</v>
      </c>
    </row>
    <row r="4" spans="1:19" x14ac:dyDescent="0.2">
      <c r="A4" s="5">
        <v>2</v>
      </c>
      <c r="B4" s="5" t="s">
        <v>747</v>
      </c>
      <c r="C4" s="13">
        <f>VLOOKUP(Macrogegevens!$C$2,'Inkomsten 2018'!$B$2:$M$394,12,0)</f>
        <v>221033</v>
      </c>
      <c r="D4" s="5"/>
      <c r="E4" s="5">
        <v>2</v>
      </c>
      <c r="F4" s="5" t="s">
        <v>116</v>
      </c>
      <c r="G4" s="13">
        <v>0</v>
      </c>
      <c r="I4" s="3" t="s">
        <v>2</v>
      </c>
      <c r="J4" s="8">
        <f>Macrogegevens!C7</f>
        <v>2.4E-2</v>
      </c>
      <c r="M4" s="21"/>
      <c r="N4" s="21"/>
      <c r="P4" s="185" t="s">
        <v>606</v>
      </c>
      <c r="Q4" s="4">
        <f>C12/C89</f>
        <v>3.7077577367535274E-2</v>
      </c>
      <c r="R4" s="185" t="s">
        <v>605</v>
      </c>
      <c r="S4" s="209">
        <f>SUM(C35,C36)/C89</f>
        <v>9.7763053946360812E-2</v>
      </c>
    </row>
    <row r="5" spans="1:19" x14ac:dyDescent="0.2">
      <c r="A5" s="5">
        <v>3</v>
      </c>
      <c r="B5" s="5" t="s">
        <v>751</v>
      </c>
      <c r="C5" s="13">
        <f>VLOOKUP(Macrogegevens!$C$2,'Inkomsten 2018'!$B$2:$Q$394,16,0)</f>
        <v>5623359</v>
      </c>
      <c r="D5" s="5"/>
      <c r="E5" s="5">
        <v>3</v>
      </c>
      <c r="F5" s="34" t="s">
        <v>715</v>
      </c>
      <c r="G5" s="84">
        <f>C35</f>
        <v>20656557</v>
      </c>
      <c r="I5" s="3" t="s">
        <v>68</v>
      </c>
      <c r="J5" s="8">
        <f>Macrogegevens!C11</f>
        <v>3.0999999999999999E-3</v>
      </c>
      <c r="L5" s="3" t="s">
        <v>816</v>
      </c>
      <c r="M5" s="21">
        <f>Macrogegevens!G6</f>
        <v>0.03</v>
      </c>
      <c r="N5" s="21">
        <f>SUM(1,M5)</f>
        <v>1.03</v>
      </c>
      <c r="P5" s="185" t="s">
        <v>77</v>
      </c>
      <c r="Q5" s="4">
        <f>C13/C89</f>
        <v>3.6874234761202232E-2</v>
      </c>
      <c r="R5" s="185" t="s">
        <v>611</v>
      </c>
      <c r="S5" s="209">
        <f>SUM(C46,C54,C55)/C89</f>
        <v>3.3222504402151106E-3</v>
      </c>
    </row>
    <row r="6" spans="1:19" x14ac:dyDescent="0.2">
      <c r="A6" s="5">
        <v>4</v>
      </c>
      <c r="B6" s="5" t="s">
        <v>754</v>
      </c>
      <c r="C6" s="13">
        <f>VLOOKUP(Macrogegevens!$C$2,'Inkomsten 2018'!$B$2:$M$394,9,0)</f>
        <v>8022257.4561979603</v>
      </c>
      <c r="D6" s="5"/>
      <c r="E6" s="5">
        <v>4</v>
      </c>
      <c r="F6" s="34" t="s">
        <v>716</v>
      </c>
      <c r="G6" s="38">
        <f>SUM(C36,C37)</f>
        <v>2319432</v>
      </c>
      <c r="I6" s="3" t="s">
        <v>69</v>
      </c>
      <c r="J6" s="8">
        <f>Macrogegevens!C12</f>
        <v>1.0265062325799854E-2</v>
      </c>
      <c r="L6" s="3" t="s">
        <v>822</v>
      </c>
      <c r="M6" s="21">
        <f>Macrogegevens!G5</f>
        <v>0.03</v>
      </c>
      <c r="N6" s="21">
        <f>SUM(1,M6)</f>
        <v>1.03</v>
      </c>
      <c r="P6" s="185" t="s">
        <v>608</v>
      </c>
      <c r="Q6" s="4">
        <f>C86/C89</f>
        <v>0</v>
      </c>
      <c r="R6" s="185"/>
      <c r="S6" s="4"/>
    </row>
    <row r="7" spans="1:19" x14ac:dyDescent="0.2">
      <c r="A7" s="5">
        <v>5</v>
      </c>
      <c r="B7" s="5" t="s">
        <v>750</v>
      </c>
      <c r="C7" s="13">
        <f>VLOOKUP(Macrogegevens!$C$2,'Inkomsten 2018'!$B$2:$M$394,6,0)</f>
        <v>9599408.8437307999</v>
      </c>
      <c r="D7" s="5"/>
      <c r="E7" s="5">
        <v>5</v>
      </c>
      <c r="F7" s="34" t="s">
        <v>717</v>
      </c>
      <c r="G7" s="38">
        <v>0</v>
      </c>
      <c r="I7" s="3" t="s">
        <v>26</v>
      </c>
      <c r="J7" s="8">
        <f>Macrogegevens!C16</f>
        <v>0.01</v>
      </c>
      <c r="M7" s="21"/>
      <c r="N7" s="7"/>
      <c r="P7" s="185" t="s">
        <v>604</v>
      </c>
      <c r="Q7" s="4">
        <f>SUM(C14,C26,C27,C77)/C89</f>
        <v>1.2066436788571281E-2</v>
      </c>
      <c r="R7" s="185"/>
      <c r="S7" s="185"/>
    </row>
    <row r="8" spans="1:19" x14ac:dyDescent="0.2">
      <c r="B8" s="5"/>
      <c r="C8" s="9"/>
      <c r="D8" s="5"/>
      <c r="E8" s="5">
        <v>6</v>
      </c>
      <c r="F8" s="12"/>
      <c r="G8" s="13">
        <v>0</v>
      </c>
      <c r="I8" s="16" t="s">
        <v>784</v>
      </c>
      <c r="J8" s="8">
        <f>Macrogegevens!C8</f>
        <v>2.325E-2</v>
      </c>
      <c r="L8" s="3" t="s">
        <v>52</v>
      </c>
      <c r="M8" s="21">
        <f>Macrogegevens!G17</f>
        <v>2.3E-2</v>
      </c>
      <c r="P8" s="185" t="s">
        <v>607</v>
      </c>
      <c r="Q8" s="4">
        <f>SUM(C43,C44,C45,C53)/C89</f>
        <v>3.3339534561753419E-2</v>
      </c>
      <c r="R8" s="185"/>
      <c r="S8" s="185"/>
    </row>
    <row r="9" spans="1:19" x14ac:dyDescent="0.2">
      <c r="A9" s="5"/>
      <c r="B9" s="5" t="s">
        <v>7</v>
      </c>
      <c r="C9" s="9">
        <f>SUM($C$3:$C$7)</f>
        <v>95668389.14647451</v>
      </c>
      <c r="D9" s="5"/>
      <c r="E9" s="5">
        <v>7</v>
      </c>
      <c r="F9" s="12"/>
      <c r="G9" s="13">
        <v>0</v>
      </c>
      <c r="I9" s="3" t="s">
        <v>74</v>
      </c>
      <c r="J9" s="8">
        <f>Macrogegevens!C13</f>
        <v>3.1630510846745979E-2</v>
      </c>
      <c r="L9" s="3" t="s">
        <v>811</v>
      </c>
      <c r="M9" s="21">
        <f>Macrogegevens!G12</f>
        <v>0.01</v>
      </c>
      <c r="P9" s="5" t="s">
        <v>661</v>
      </c>
      <c r="Q9" s="4">
        <f>SUM(C28,C85)/C89</f>
        <v>6.09818159792677E-3</v>
      </c>
      <c r="R9" s="185"/>
      <c r="S9" s="185"/>
    </row>
    <row r="10" spans="1:19" x14ac:dyDescent="0.2">
      <c r="A10" s="1"/>
      <c r="B10" s="1"/>
      <c r="C10" s="4"/>
      <c r="D10" s="5"/>
      <c r="E10" s="5"/>
      <c r="F10" s="5"/>
      <c r="G10" s="229"/>
      <c r="I10" s="3" t="s">
        <v>795</v>
      </c>
      <c r="J10" s="8">
        <f>Macrogegevens!C5</f>
        <v>0.02</v>
      </c>
      <c r="K10" s="133" t="s">
        <v>543</v>
      </c>
      <c r="L10" s="3" t="s">
        <v>812</v>
      </c>
      <c r="M10" s="21">
        <f>Macrogegevens!G13</f>
        <v>0.02</v>
      </c>
      <c r="N10" s="40"/>
      <c r="P10" s="3" t="s">
        <v>609</v>
      </c>
      <c r="Q10" s="21">
        <f>SUM(1,-Q2,-Q3,-Q4,-Q5,-Q6,-Q7,-Q8,-Q9)</f>
        <v>0.26319263230692408</v>
      </c>
    </row>
    <row r="11" spans="1:19" s="32" customFormat="1" x14ac:dyDescent="0.2">
      <c r="A11" s="1" t="s">
        <v>5</v>
      </c>
      <c r="B11" s="1" t="s">
        <v>89</v>
      </c>
      <c r="C11" s="4">
        <f>SUM(1,J2,J6)</f>
        <v>1.0272650623257997</v>
      </c>
      <c r="D11" s="34"/>
      <c r="E11" s="5"/>
      <c r="F11" s="5" t="s">
        <v>7</v>
      </c>
      <c r="G11" s="9">
        <f>SUM(G3:G9)</f>
        <v>22975989</v>
      </c>
      <c r="I11" s="32" t="s">
        <v>102</v>
      </c>
      <c r="J11" s="40">
        <f>IF(Macrogegevens!C10="Hoog",85%,K11)</f>
        <v>0.72499999999999998</v>
      </c>
      <c r="K11" s="134">
        <f>IF(Macrogegevens!C10="Midden",72.5%,60%)</f>
        <v>0.72499999999999998</v>
      </c>
      <c r="L11" s="32" t="s">
        <v>813</v>
      </c>
      <c r="M11" s="40">
        <f>Macrogegevens!G14</f>
        <v>0.03</v>
      </c>
      <c r="N11" s="40"/>
    </row>
    <row r="12" spans="1:19" s="32" customFormat="1" ht="15" x14ac:dyDescent="0.35">
      <c r="A12" s="34">
        <v>6</v>
      </c>
      <c r="B12" s="5" t="s">
        <v>78</v>
      </c>
      <c r="C12" s="86">
        <f>VLOOKUP(Macrogegevens!$C$2,'Inkomsten 2018'!$B$2:$AB$394,27,0)*1000</f>
        <v>8570000</v>
      </c>
      <c r="D12" s="34"/>
      <c r="E12" s="5"/>
      <c r="F12" s="5"/>
      <c r="G12" s="9"/>
      <c r="I12" s="32" t="s">
        <v>531</v>
      </c>
      <c r="J12" s="23">
        <f>VLOOKUP(Macrogegevens!$C$2,'Data OZB belastingen'!$B$2:$M$390,12,0)</f>
        <v>14999806.192397237</v>
      </c>
      <c r="L12" s="32" t="s">
        <v>53</v>
      </c>
      <c r="M12" s="39">
        <f>Macrogegevens!G18</f>
        <v>1</v>
      </c>
    </row>
    <row r="13" spans="1:19" s="32" customFormat="1" ht="15" x14ac:dyDescent="0.35">
      <c r="A13" s="34">
        <v>7</v>
      </c>
      <c r="B13" s="34" t="s">
        <v>77</v>
      </c>
      <c r="C13" s="86">
        <f>VLOOKUP(Macrogegevens!$C$2,'Inkomsten 2018'!$B$2:$AC$394,28,0)*1000</f>
        <v>8523000</v>
      </c>
      <c r="D13" s="34"/>
      <c r="E13" s="1" t="s">
        <v>5</v>
      </c>
      <c r="F13" s="1" t="s">
        <v>798</v>
      </c>
      <c r="G13" s="4">
        <f>SUM(1,J2,J4,J3,J6)</f>
        <v>1.0651650623257998</v>
      </c>
      <c r="I13" s="32" t="s">
        <v>562</v>
      </c>
      <c r="J13" s="139">
        <v>0</v>
      </c>
      <c r="L13" s="32" t="s">
        <v>563</v>
      </c>
      <c r="M13" s="23">
        <f>VLOOKUP(Macrogegevens!$C$2,'Data OZB belastingen'!$B$2:$M$390,12,0)</f>
        <v>14999806.192397237</v>
      </c>
      <c r="N13" s="160">
        <f>IF(M13&lt;M15,0.2*M13,0)</f>
        <v>2999961.2384794476</v>
      </c>
    </row>
    <row r="14" spans="1:19" x14ac:dyDescent="0.2">
      <c r="A14" s="34">
        <v>8</v>
      </c>
      <c r="B14" s="34" t="s">
        <v>604</v>
      </c>
      <c r="C14" s="22">
        <f>VLOOKUP(Macrogegevens!$C$2,'Inkomsten 2018'!$B$2:$AA$394,26,0)*1000</f>
        <v>316000</v>
      </c>
      <c r="D14" s="5"/>
      <c r="E14" s="5">
        <v>8</v>
      </c>
      <c r="F14" s="5" t="s">
        <v>718</v>
      </c>
      <c r="G14" s="13">
        <f>SUM(C6,C69)</f>
        <v>8022257.4561979603</v>
      </c>
      <c r="I14" s="3" t="s">
        <v>22</v>
      </c>
      <c r="J14" s="29">
        <f>Balansprognose!G35</f>
        <v>231137000</v>
      </c>
      <c r="L14" s="3" t="s">
        <v>564</v>
      </c>
      <c r="M14" s="14">
        <f>SUM(G67,-C12,-C13,-C35,-C36,-C37,-C43,-C44,-C45,-C46,-C53,-C54,-C55,-C69,-C70)</f>
        <v>152461102.86554065</v>
      </c>
    </row>
    <row r="15" spans="1:19" x14ac:dyDescent="0.2">
      <c r="A15" s="34">
        <v>9</v>
      </c>
      <c r="B15" s="34" t="s">
        <v>85</v>
      </c>
      <c r="C15" s="37">
        <v>0</v>
      </c>
      <c r="D15" s="5"/>
      <c r="E15" s="5">
        <v>9</v>
      </c>
      <c r="F15" s="5" t="s">
        <v>666</v>
      </c>
      <c r="G15" s="84">
        <f>C5</f>
        <v>5623359</v>
      </c>
      <c r="H15" s="2"/>
      <c r="I15" s="181"/>
      <c r="L15" s="3" t="s">
        <v>712</v>
      </c>
      <c r="M15" s="46">
        <f>Macrogegevens!H18</f>
        <v>19258004.541662857</v>
      </c>
    </row>
    <row r="16" spans="1:19" x14ac:dyDescent="0.2">
      <c r="A16" s="34">
        <v>10</v>
      </c>
      <c r="B16" s="34" t="s">
        <v>86</v>
      </c>
      <c r="C16" s="37">
        <v>0</v>
      </c>
      <c r="D16" s="5"/>
      <c r="E16" s="5">
        <v>10</v>
      </c>
      <c r="F16" s="94" t="s">
        <v>719</v>
      </c>
      <c r="G16" s="84">
        <f>C7</f>
        <v>9599408.8437307999</v>
      </c>
      <c r="H16" s="15"/>
    </row>
    <row r="17" spans="1:17" x14ac:dyDescent="0.2">
      <c r="A17" s="34">
        <v>11</v>
      </c>
      <c r="B17" s="34" t="s">
        <v>104</v>
      </c>
      <c r="C17" s="37">
        <v>0</v>
      </c>
      <c r="D17" s="5"/>
      <c r="E17" s="5">
        <v>11</v>
      </c>
      <c r="F17" s="94" t="s">
        <v>720</v>
      </c>
      <c r="G17" s="84">
        <f>C70</f>
        <v>1191656</v>
      </c>
      <c r="M17" s="23"/>
    </row>
    <row r="18" spans="1:17" x14ac:dyDescent="0.2">
      <c r="A18" s="34">
        <v>12</v>
      </c>
      <c r="B18" s="34" t="s">
        <v>690</v>
      </c>
      <c r="C18" s="13">
        <v>0</v>
      </c>
      <c r="D18" s="5"/>
      <c r="E18" s="5">
        <v>12</v>
      </c>
      <c r="F18" s="12"/>
      <c r="G18" s="13">
        <v>0</v>
      </c>
      <c r="L18" s="3" t="s">
        <v>787</v>
      </c>
      <c r="M18" s="21">
        <f>Q2</f>
        <v>0.52178547418403154</v>
      </c>
    </row>
    <row r="19" spans="1:17" x14ac:dyDescent="0.2">
      <c r="A19" s="5">
        <v>13</v>
      </c>
      <c r="B19" s="12"/>
      <c r="C19" s="13">
        <v>0</v>
      </c>
      <c r="D19" s="5"/>
      <c r="E19" s="5">
        <v>13</v>
      </c>
      <c r="F19" s="12"/>
      <c r="G19" s="13">
        <v>0</v>
      </c>
      <c r="L19" s="3" t="s">
        <v>788</v>
      </c>
      <c r="M19" s="7">
        <f>M2*M18</f>
        <v>6.2614256902083776E-2</v>
      </c>
    </row>
    <row r="20" spans="1:17" x14ac:dyDescent="0.2">
      <c r="A20" s="5">
        <v>14</v>
      </c>
      <c r="B20" s="12"/>
      <c r="C20" s="13">
        <v>0</v>
      </c>
      <c r="D20" s="5"/>
      <c r="E20" s="5"/>
      <c r="F20" s="5"/>
      <c r="G20" s="9"/>
      <c r="L20" s="3" t="s">
        <v>789</v>
      </c>
      <c r="M20" s="7">
        <f>M3</f>
        <v>0.12</v>
      </c>
    </row>
    <row r="21" spans="1:17" x14ac:dyDescent="0.2">
      <c r="A21" s="5"/>
      <c r="B21" s="5"/>
      <c r="C21" s="9"/>
      <c r="D21" s="5"/>
      <c r="E21" s="5"/>
      <c r="F21" s="5" t="s">
        <v>8</v>
      </c>
      <c r="G21" s="9">
        <f>SUM(G14:G19)</f>
        <v>24436681.299928762</v>
      </c>
      <c r="L21" s="3" t="s">
        <v>790</v>
      </c>
      <c r="M21" s="10">
        <f>SUM(M19:M20)</f>
        <v>0.18261425690208377</v>
      </c>
    </row>
    <row r="22" spans="1:17" x14ac:dyDescent="0.2">
      <c r="A22" s="5"/>
      <c r="B22" s="5" t="s">
        <v>8</v>
      </c>
      <c r="C22" s="9">
        <f>SUM(C12:C20)</f>
        <v>17409000</v>
      </c>
      <c r="D22" s="5"/>
      <c r="E22" s="1"/>
      <c r="F22" s="1"/>
      <c r="G22" s="4"/>
      <c r="M22" s="23"/>
    </row>
    <row r="23" spans="1:17" x14ac:dyDescent="0.2">
      <c r="A23" s="5"/>
      <c r="B23" s="5"/>
      <c r="C23" s="9"/>
      <c r="D23" s="5"/>
      <c r="E23" s="1" t="s">
        <v>6</v>
      </c>
      <c r="F23" s="1" t="s">
        <v>796</v>
      </c>
      <c r="G23" s="4">
        <f>SUM(1,J8,J6)</f>
        <v>1.0335150623257998</v>
      </c>
      <c r="L23" s="3" t="s">
        <v>793</v>
      </c>
      <c r="M23" s="21">
        <f>S4</f>
        <v>9.7763053946360812E-2</v>
      </c>
    </row>
    <row r="24" spans="1:17" x14ac:dyDescent="0.2">
      <c r="A24" s="1" t="s">
        <v>6</v>
      </c>
      <c r="B24" s="1" t="s">
        <v>800</v>
      </c>
      <c r="C24" s="4">
        <f>SUM(1,J2,J3,J6)</f>
        <v>1.0411650623257998</v>
      </c>
      <c r="D24" s="5"/>
      <c r="E24" s="5">
        <v>14</v>
      </c>
      <c r="F24" s="34" t="s">
        <v>697</v>
      </c>
      <c r="G24" s="13">
        <v>0</v>
      </c>
      <c r="L24" s="3" t="s">
        <v>791</v>
      </c>
      <c r="M24" s="21">
        <f>M5*M23</f>
        <v>2.9328916183908242E-3</v>
      </c>
    </row>
    <row r="25" spans="1:17" x14ac:dyDescent="0.2">
      <c r="A25" s="5">
        <v>15</v>
      </c>
      <c r="B25" s="5" t="s">
        <v>76</v>
      </c>
      <c r="C25" s="13">
        <f>VLOOKUP(Macrogegevens!$C$2,'Inkomsten 2018'!$B$2:$Z$394,21,0)*1000</f>
        <v>11228000</v>
      </c>
      <c r="D25" s="5"/>
      <c r="E25" s="5">
        <v>15</v>
      </c>
      <c r="F25" s="94" t="s">
        <v>691</v>
      </c>
      <c r="G25" s="13">
        <v>0</v>
      </c>
      <c r="K25" s="23"/>
      <c r="L25" s="23" t="s">
        <v>792</v>
      </c>
      <c r="M25" s="21">
        <f>M6</f>
        <v>0.03</v>
      </c>
    </row>
    <row r="26" spans="1:17" x14ac:dyDescent="0.2">
      <c r="A26" s="5">
        <v>16</v>
      </c>
      <c r="B26" s="5" t="s">
        <v>84</v>
      </c>
      <c r="C26" s="13">
        <f>VLOOKUP(Macrogegevens!$C$2,'Inkomsten 2018'!$B$2:$Z$394,25,0)*1000</f>
        <v>130000</v>
      </c>
      <c r="D26" s="5"/>
      <c r="E26" s="5">
        <v>16</v>
      </c>
      <c r="F26" s="5" t="s">
        <v>694</v>
      </c>
      <c r="G26" s="22">
        <v>0</v>
      </c>
      <c r="K26" s="23"/>
      <c r="L26" s="23" t="s">
        <v>794</v>
      </c>
      <c r="M26" s="21">
        <f>SUM(M24:M25)</f>
        <v>3.2932891618390824E-2</v>
      </c>
    </row>
    <row r="27" spans="1:17" x14ac:dyDescent="0.2">
      <c r="A27" s="5">
        <v>17</v>
      </c>
      <c r="B27" s="5" t="s">
        <v>115</v>
      </c>
      <c r="C27" s="13">
        <f>VLOOKUP(Macrogegevens!$C$2,'Inkomsten 2018'!$B$2:$Z$394,24,0)*1000</f>
        <v>0</v>
      </c>
      <c r="D27" s="5"/>
      <c r="E27" s="34">
        <v>17</v>
      </c>
      <c r="F27" s="5" t="s">
        <v>726</v>
      </c>
      <c r="G27" s="37">
        <v>0</v>
      </c>
    </row>
    <row r="28" spans="1:17" x14ac:dyDescent="0.2">
      <c r="A28" s="5">
        <v>18</v>
      </c>
      <c r="B28" s="5" t="s">
        <v>117</v>
      </c>
      <c r="C28" s="13">
        <v>0</v>
      </c>
      <c r="D28" s="5"/>
      <c r="E28" s="5">
        <v>18</v>
      </c>
      <c r="F28" s="12"/>
      <c r="G28" s="22">
        <v>0</v>
      </c>
      <c r="H28" s="2" t="s">
        <v>50</v>
      </c>
      <c r="P28" s="227" t="s">
        <v>689</v>
      </c>
      <c r="Q28" s="228"/>
    </row>
    <row r="29" spans="1:17" x14ac:dyDescent="0.2">
      <c r="A29" s="5">
        <v>19</v>
      </c>
      <c r="B29" s="12"/>
      <c r="C29" s="13">
        <v>0</v>
      </c>
      <c r="D29" s="5"/>
      <c r="E29" s="5"/>
      <c r="F29" s="5"/>
      <c r="G29" s="5"/>
      <c r="H29" s="15" t="s">
        <v>23</v>
      </c>
      <c r="I29" s="15" t="s">
        <v>22</v>
      </c>
      <c r="J29" s="15" t="s">
        <v>24</v>
      </c>
      <c r="K29" s="15" t="s">
        <v>49</v>
      </c>
      <c r="L29" s="15" t="s">
        <v>51</v>
      </c>
      <c r="M29" s="15" t="s">
        <v>3</v>
      </c>
      <c r="N29" s="3" t="s">
        <v>54</v>
      </c>
      <c r="P29" s="221" t="s">
        <v>662</v>
      </c>
      <c r="Q29" s="224">
        <f>Q2</f>
        <v>0.52178547418403154</v>
      </c>
    </row>
    <row r="30" spans="1:17" x14ac:dyDescent="0.2">
      <c r="A30" s="5">
        <v>20</v>
      </c>
      <c r="B30" s="12"/>
      <c r="C30" s="13">
        <v>0</v>
      </c>
      <c r="D30" s="5"/>
      <c r="E30" s="5"/>
      <c r="F30" s="5" t="s">
        <v>9</v>
      </c>
      <c r="G30" s="9">
        <f>SUM(G24:G28)</f>
        <v>0</v>
      </c>
      <c r="H30" s="3">
        <f>Macrogegevens!C1</f>
        <v>2018</v>
      </c>
      <c r="I30" s="33">
        <f>C83</f>
        <v>229727484.59999999</v>
      </c>
      <c r="J30" s="33">
        <f>G67</f>
        <v>202195642.86554065</v>
      </c>
      <c r="K30" s="23">
        <v>0</v>
      </c>
      <c r="L30" s="23">
        <f>SUM(I30,-J30,K30)</f>
        <v>27531841.734459341</v>
      </c>
      <c r="M30" s="23">
        <f>J7*0.5*L30</f>
        <v>137659.20867229669</v>
      </c>
      <c r="N30" s="23">
        <f t="shared" ref="N30:N39" si="0">SUM(L30:M30)</f>
        <v>27669500.943131637</v>
      </c>
      <c r="P30" s="222" t="s">
        <v>760</v>
      </c>
      <c r="Q30" s="116">
        <f>$M$14/$G$89</f>
        <v>0.70056796262166876</v>
      </c>
    </row>
    <row r="31" spans="1:17" s="32" customFormat="1" ht="14.25" customHeight="1" x14ac:dyDescent="0.2">
      <c r="A31" s="5"/>
      <c r="B31" s="5"/>
      <c r="C31" s="9"/>
      <c r="D31" s="34"/>
      <c r="E31" s="5"/>
      <c r="F31" s="5"/>
      <c r="G31" s="5"/>
      <c r="H31" s="3">
        <f t="shared" ref="H31:H39" si="1">SUM(H30,1)</f>
        <v>2019</v>
      </c>
      <c r="I31" s="33">
        <f>SUM(SUM(C83*N2,J13)*C82,N13*C82)</f>
        <v>213040537.38633525</v>
      </c>
      <c r="J31" s="33">
        <f>SUM(G67*N5,J13)*G66</f>
        <v>215282563.91541797</v>
      </c>
      <c r="K31" s="33">
        <f>SUM((M8*M12*SUM(M13,M14))*(G66^1),-N13*C82)</f>
        <v>866256.15621761652</v>
      </c>
      <c r="L31" s="33">
        <f t="shared" ref="L31:L39" si="2">SUM(I31,-J31,K31)</f>
        <v>-1375770.372865099</v>
      </c>
      <c r="M31" s="33">
        <f>SUM(SUM(J7,M9)*0.5*L31,J7*N30)</f>
        <v>262937.30570266541</v>
      </c>
      <c r="N31" s="33">
        <f t="shared" si="0"/>
        <v>-1112833.0671624336</v>
      </c>
      <c r="P31" s="223" t="s">
        <v>758</v>
      </c>
      <c r="Q31" s="225">
        <f>Macrogegevens!$U$36</f>
        <v>6.4895737992607144E-2</v>
      </c>
    </row>
    <row r="32" spans="1:17" x14ac:dyDescent="0.2">
      <c r="A32" s="5"/>
      <c r="B32" s="5" t="s">
        <v>9</v>
      </c>
      <c r="C32" s="9">
        <f>SUM(C25:C30)</f>
        <v>11358000</v>
      </c>
      <c r="D32" s="5"/>
      <c r="E32" s="35" t="s">
        <v>10</v>
      </c>
      <c r="F32" s="35" t="s">
        <v>692</v>
      </c>
      <c r="G32" s="36">
        <f>SUM(1,(0.8*J2),(0.2*J4),J6)</f>
        <v>1.0286650623257998</v>
      </c>
      <c r="H32" s="3">
        <f t="shared" si="1"/>
        <v>2020</v>
      </c>
      <c r="I32" s="23">
        <f>SUM(SUM(C83*N3,J13)*(C82^2),2*N13*(C82^2))</f>
        <v>224458470.00238872</v>
      </c>
      <c r="J32" s="23">
        <f>SUM(G67*N6,J13)*(G66^2)</f>
        <v>222540314.08491665</v>
      </c>
      <c r="K32" s="23">
        <f>SUM((M8*M12*SUM(M13,M14))*(G66^2)*2,-2*N13*(C82^2))</f>
        <v>1761648.0366547303</v>
      </c>
      <c r="L32" s="23">
        <f t="shared" si="2"/>
        <v>3679803.9541267948</v>
      </c>
      <c r="M32" s="23">
        <f>SUM(SUM(J7,M10)*0.5*L32,J7*N30,SUM(J7,M9)*N31)</f>
        <v>309635.40739996964</v>
      </c>
      <c r="N32" s="23">
        <f t="shared" si="0"/>
        <v>3989439.3615267645</v>
      </c>
      <c r="P32" s="222" t="s">
        <v>756</v>
      </c>
      <c r="Q32" s="116">
        <f>SUM($C$89,-$G$89)/$C$89</f>
        <v>5.8458836101532859E-2</v>
      </c>
    </row>
    <row r="33" spans="1:17" x14ac:dyDescent="0.2">
      <c r="A33" s="5"/>
      <c r="B33" s="5"/>
      <c r="C33" s="9"/>
      <c r="D33" s="5"/>
      <c r="E33" s="5">
        <v>19</v>
      </c>
      <c r="F33" s="5" t="s">
        <v>696</v>
      </c>
      <c r="G33" s="13">
        <v>0</v>
      </c>
      <c r="H33" s="3">
        <f t="shared" si="1"/>
        <v>2021</v>
      </c>
      <c r="I33" s="23">
        <f>SUM(SUM(C83*N3,J13)*(C82^3),3*N13*(C82^3))</f>
        <v>236439229.45297092</v>
      </c>
      <c r="J33" s="23">
        <f>SUM(G67*N6,J13)*(G66^3)</f>
        <v>230042742.39538893</v>
      </c>
      <c r="K33" s="23">
        <f>SUM((M8*M12*SUM(M13,M14))*(G66^3)*3,-3*N13*(C82^3))</f>
        <v>2685962.4654961899</v>
      </c>
      <c r="L33" s="23">
        <f t="shared" si="2"/>
        <v>9082449.5230781808</v>
      </c>
      <c r="M33" s="23">
        <f>SUM(SUM(J7,M11)*0.5*L33,J7*N30,SUM(J7,M9)*N31,SUM(J7,M10)*N32)</f>
        <v>555770.5193954343</v>
      </c>
      <c r="N33" s="23">
        <f t="shared" si="0"/>
        <v>9638220.0424736142</v>
      </c>
      <c r="P33" s="223" t="s">
        <v>757</v>
      </c>
      <c r="Q33" s="225">
        <f>$G$85/$C$89</f>
        <v>1.0174040220558948E-2</v>
      </c>
    </row>
    <row r="34" spans="1:17" x14ac:dyDescent="0.2">
      <c r="A34" s="1" t="s">
        <v>10</v>
      </c>
      <c r="B34" s="1" t="s">
        <v>90</v>
      </c>
      <c r="C34" s="4">
        <f>SUM(1,J6,J4)</f>
        <v>1.0342650623257998</v>
      </c>
      <c r="D34" s="5"/>
      <c r="E34" s="140">
        <v>20</v>
      </c>
      <c r="F34" s="5" t="s">
        <v>721</v>
      </c>
      <c r="G34" s="141">
        <v>0</v>
      </c>
      <c r="H34" s="3">
        <f t="shared" si="1"/>
        <v>2022</v>
      </c>
      <c r="I34" s="23">
        <f>SUM(SUM(C83*N3,J13)*(C82^4),4*N13*(C82^4))</f>
        <v>249009207.12692642</v>
      </c>
      <c r="J34" s="23">
        <f>SUM(G67*N6,J13)*(G66^4)</f>
        <v>237798097.60041168</v>
      </c>
      <c r="K34" s="23">
        <f>SUM((M8*M12*SUM(M13,M14))*(G66^4)*4,-4*N13*(C82^4))</f>
        <v>3638890.3092031125</v>
      </c>
      <c r="L34" s="23">
        <f t="shared" si="2"/>
        <v>14849999.835717851</v>
      </c>
      <c r="M34" s="23">
        <f>SUM(SUM(J7,M11)*SUM(0.5*L34,N33),J7*N30,SUM(J7,M9)*N31,SUM(J7,M10)*N32)</f>
        <v>1056650.3273471722</v>
      </c>
      <c r="N34" s="23">
        <f t="shared" si="0"/>
        <v>15906650.163065024</v>
      </c>
      <c r="P34" s="253" t="s">
        <v>759</v>
      </c>
      <c r="Q34" s="226">
        <f>SUM($C$89,-$G$89,$G$87)/$C$89</f>
        <v>0.11503895957808573</v>
      </c>
    </row>
    <row r="35" spans="1:17" s="142" customFormat="1" ht="14.25" customHeight="1" x14ac:dyDescent="0.35">
      <c r="A35" s="140">
        <v>21</v>
      </c>
      <c r="B35" s="140" t="s">
        <v>94</v>
      </c>
      <c r="C35" s="86">
        <f>SUM(VLOOKUP(Macrogegevens!$C$2,'Inkomsten 2018'!$B$2:$AB$394,18,0),VLOOKUP(Macrogegevens!$C$2,'Inkomsten 2018'!$B$2:$AB$394,19,0))</f>
        <v>20656557</v>
      </c>
      <c r="D35" s="140"/>
      <c r="E35" s="140">
        <v>21</v>
      </c>
      <c r="F35" s="5" t="s">
        <v>698</v>
      </c>
      <c r="G35" s="141">
        <v>0</v>
      </c>
      <c r="H35" s="142">
        <f t="shared" si="1"/>
        <v>2023</v>
      </c>
      <c r="I35" s="143">
        <f>SUM(SUM(C83*N3,J13)*(C82^5),5*N13*(C82^5))</f>
        <v>262195991.45411375</v>
      </c>
      <c r="J35" s="143">
        <f>SUM(G67*N6,J13)*(G66^5)</f>
        <v>245814906.5410741</v>
      </c>
      <c r="K35" s="143">
        <f>SUM((M8*M12*SUM(M13,M14))*(G66^5)*5,-5*N13*(C82^5))</f>
        <v>4620018.2855748162</v>
      </c>
      <c r="L35" s="143">
        <f t="shared" si="2"/>
        <v>21001103.198614471</v>
      </c>
      <c r="M35" s="143">
        <f>SUM(SUM(J7,M11)*SUM(0.5*L35,N33,N34),J7*N30,SUM(J7,M9)*N31,SUM(J7,M10)*N32)</f>
        <v>1815938.4011277056</v>
      </c>
      <c r="N35" s="143">
        <f t="shared" si="0"/>
        <v>22817041.599742178</v>
      </c>
      <c r="P35" s="3"/>
      <c r="Q35" s="3"/>
    </row>
    <row r="36" spans="1:17" s="142" customFormat="1" ht="14.25" customHeight="1" x14ac:dyDescent="0.35">
      <c r="A36" s="140">
        <v>22</v>
      </c>
      <c r="B36" s="140" t="s">
        <v>749</v>
      </c>
      <c r="C36" s="86">
        <f>VLOOKUP(Macrogegevens!$C$2,'Inkomsten 2018'!$B$2:$P$394,15,0)</f>
        <v>1940102</v>
      </c>
      <c r="D36" s="140"/>
      <c r="E36" s="140">
        <v>22</v>
      </c>
      <c r="F36" s="5" t="s">
        <v>725</v>
      </c>
      <c r="G36" s="141">
        <v>0</v>
      </c>
      <c r="H36" s="142">
        <f t="shared" si="1"/>
        <v>2024</v>
      </c>
      <c r="I36" s="143">
        <f>SUM(SUM(C83*N3,J13)*(C82^6),5*N13*(C82^6))</f>
        <v>272267180.29706579</v>
      </c>
      <c r="J36" s="143">
        <f>SUM(G67*N6,J13)*(G66^6)</f>
        <v>254101983.5210506</v>
      </c>
      <c r="K36" s="143">
        <f>SUM((M8*M12*SUM(M13,M14))*(G66^6)*5,-5*N13*(C82^6))</f>
        <v>4690683.5419062041</v>
      </c>
      <c r="L36" s="143">
        <f t="shared" si="2"/>
        <v>22855880.317921396</v>
      </c>
      <c r="M36" s="143">
        <f>SUM(SUM(J7,M11)*SUM(0.5*L36,N33,N34,N35),J7*N30,SUM(J7,M9)*N31,SUM(J7,M10)*N32)</f>
        <v>2765715.607503532</v>
      </c>
      <c r="N36" s="143">
        <f t="shared" si="0"/>
        <v>25621595.92542493</v>
      </c>
      <c r="P36" s="3"/>
      <c r="Q36" s="3"/>
    </row>
    <row r="37" spans="1:17" ht="16.5" customHeight="1" x14ac:dyDescent="0.35">
      <c r="A37" s="5">
        <v>23</v>
      </c>
      <c r="B37" s="5" t="s">
        <v>748</v>
      </c>
      <c r="C37" s="86">
        <f>SUM(VLOOKUP(Macrogegevens!$C$2,'Inkomsten 2018'!$B$2:$AB$394,13,0),VLOOKUP(Macrogegevens!$C$2,'Inkomsten 2018'!$B$2:$AB$394,14,0))</f>
        <v>379330</v>
      </c>
      <c r="D37" s="5"/>
      <c r="E37" s="5">
        <v>23</v>
      </c>
      <c r="F37" s="5" t="s">
        <v>699</v>
      </c>
      <c r="G37" s="13">
        <v>0</v>
      </c>
      <c r="H37" s="3">
        <f t="shared" si="1"/>
        <v>2025</v>
      </c>
      <c r="I37" s="23">
        <f>SUM(SUM(C83*N3,J13)*(C82^7),5*N13*(C82^7))</f>
        <v>282725212.75325513</v>
      </c>
      <c r="J37" s="23">
        <f>SUM(G67*N6,J13)*(G66^7)</f>
        <v>262668439.99773219</v>
      </c>
      <c r="K37" s="23">
        <f>SUM((M8*M12*SUM(M13,M14))*(G66^7)*5,-5*N13*(C82^7))</f>
        <v>4760462.8084223755</v>
      </c>
      <c r="L37" s="23">
        <f t="shared" si="2"/>
        <v>24817235.563945312</v>
      </c>
      <c r="M37" s="23">
        <f>SUM(SUM(J7,M11)*SUM(0.5*L37,N33,N34,N35,N36),J7*N30,SUM(J7,M9)*N31,SUM(J7,M10)*N32)</f>
        <v>3829806.549441007</v>
      </c>
      <c r="N37" s="23">
        <f t="shared" si="0"/>
        <v>28647042.113386318</v>
      </c>
    </row>
    <row r="38" spans="1:17" s="32" customFormat="1" ht="12.75" customHeight="1" x14ac:dyDescent="0.2">
      <c r="A38" s="5">
        <v>24</v>
      </c>
      <c r="B38" s="12"/>
      <c r="C38" s="13">
        <v>0</v>
      </c>
      <c r="D38" s="34"/>
      <c r="E38" s="5">
        <v>24</v>
      </c>
      <c r="F38" s="12"/>
      <c r="G38" s="13">
        <v>0</v>
      </c>
      <c r="H38" s="3">
        <f t="shared" si="1"/>
        <v>2026</v>
      </c>
      <c r="I38" s="23">
        <f>SUM(SUM(C83*N3,J13)*(C82^8),5*N13*(C82^8))</f>
        <v>293584947.84115845</v>
      </c>
      <c r="J38" s="23">
        <f>SUM(G67*N6,J13)*(G66^8)</f>
        <v>271523694.60007191</v>
      </c>
      <c r="K38" s="33">
        <f>SUM((M8*M12*SUM(M13,M14))*(G66^8)*5,-5*N13*(C82^8))</f>
        <v>4829200.6774695814</v>
      </c>
      <c r="L38" s="33">
        <f t="shared" si="2"/>
        <v>26890453.918556124</v>
      </c>
      <c r="M38" s="33">
        <f>SUM(SUM(J7,M11)*SUM(0.5*L38,N33,N34,N35,N36,N37),J7*N30,SUM(J7,M9)*N31,SUM(J7,M10)*N32)</f>
        <v>5017152.6010686764</v>
      </c>
      <c r="N38" s="33">
        <f t="shared" si="0"/>
        <v>31907606.519624799</v>
      </c>
    </row>
    <row r="39" spans="1:17" x14ac:dyDescent="0.2">
      <c r="A39" s="5"/>
      <c r="B39" s="5"/>
      <c r="C39" s="9"/>
      <c r="D39" s="5"/>
      <c r="E39" s="5">
        <v>25</v>
      </c>
      <c r="F39" s="5" t="s">
        <v>544</v>
      </c>
      <c r="G39" s="9">
        <f>SUM($G$67,-$G$11,-$G$21,-$G$30,-G33,-G34,-G35,-G36,-G37,-G38,-G53,-G64)</f>
        <v>154782972.5656119</v>
      </c>
      <c r="H39" s="3">
        <f t="shared" si="1"/>
        <v>2027</v>
      </c>
      <c r="I39" s="23">
        <f>SUM(SUM(C83*N3,J13)*(C82^9),5*N13*(C82^9))</f>
        <v>304861815.32779968</v>
      </c>
      <c r="J39" s="23">
        <f>SUM(G67*N6,J13)*(G66^9)</f>
        <v>280677483.48415834</v>
      </c>
      <c r="K39" s="23">
        <f>SUM((M8*M12*SUM(M13,M14))*(G66^9)*5,-5*N13*(C82^9))</f>
        <v>4896731.6801352017</v>
      </c>
      <c r="L39" s="23">
        <f t="shared" si="2"/>
        <v>29081063.523776542</v>
      </c>
      <c r="M39" s="23">
        <f>SUM(SUM(J7,M11)*SUM(0.5*L39,N33,N34,N35,N36,N37,N38),J7*N30,SUM(J7,M9)*N31,SUM(J7,M10)*N32)</f>
        <v>6337269.0539580761</v>
      </c>
      <c r="N39" s="23">
        <f t="shared" si="0"/>
        <v>35418332.577734619</v>
      </c>
    </row>
    <row r="40" spans="1:17" x14ac:dyDescent="0.2">
      <c r="A40" s="5"/>
      <c r="B40" s="5" t="s">
        <v>11</v>
      </c>
      <c r="C40" s="9">
        <f>SUM(C35:C38)</f>
        <v>22975989</v>
      </c>
      <c r="D40" s="5"/>
      <c r="E40" s="5"/>
      <c r="F40" s="5"/>
      <c r="G40" s="5"/>
    </row>
    <row r="41" spans="1:17" x14ac:dyDescent="0.2">
      <c r="A41" s="5"/>
      <c r="B41" s="5"/>
      <c r="C41" s="9"/>
      <c r="D41" s="5"/>
      <c r="E41" s="5"/>
      <c r="F41" s="5" t="s">
        <v>11</v>
      </c>
      <c r="G41" s="9">
        <f>SUM(G33:G39)</f>
        <v>154782972.5656119</v>
      </c>
      <c r="H41" s="3">
        <f>IF(G41&lt;0,-G41,G41)</f>
        <v>154782972.5656119</v>
      </c>
    </row>
    <row r="42" spans="1:17" x14ac:dyDescent="0.2">
      <c r="A42" s="1" t="s">
        <v>12</v>
      </c>
      <c r="B42" s="1" t="s">
        <v>802</v>
      </c>
      <c r="C42" s="4">
        <f>SUM(1,J8,J6)</f>
        <v>1.0335150623257998</v>
      </c>
      <c r="D42" s="5"/>
      <c r="E42" s="5"/>
      <c r="F42" s="5"/>
      <c r="G42" s="5"/>
    </row>
    <row r="43" spans="1:17" ht="15" x14ac:dyDescent="0.35">
      <c r="A43" s="34">
        <v>25</v>
      </c>
      <c r="B43" s="34" t="s">
        <v>79</v>
      </c>
      <c r="C43" s="86">
        <f>VLOOKUP(Macrogegevens!$C$2,'Inkomsten 2018'!$B$2:$AD$394,29,0)*1000</f>
        <v>2016000</v>
      </c>
      <c r="D43" s="5"/>
      <c r="E43" s="1" t="s">
        <v>12</v>
      </c>
      <c r="F43" s="1" t="s">
        <v>91</v>
      </c>
      <c r="G43" s="4">
        <f>SUM(1,(0.2*J2),(0.8*J4),J6)</f>
        <v>1.0328650623258</v>
      </c>
    </row>
    <row r="44" spans="1:17" ht="15" x14ac:dyDescent="0.35">
      <c r="A44" s="5">
        <v>26</v>
      </c>
      <c r="B44" s="5" t="s">
        <v>80</v>
      </c>
      <c r="C44" s="86">
        <f>VLOOKUP(Macrogegevens!$C$2,'Inkomsten 2018'!$B$2:$AF$394,31,0)*1000</f>
        <v>1687000</v>
      </c>
      <c r="D44" s="5"/>
      <c r="E44" s="11">
        <v>26</v>
      </c>
      <c r="F44" s="94" t="s">
        <v>724</v>
      </c>
      <c r="G44" s="13">
        <v>0</v>
      </c>
    </row>
    <row r="45" spans="1:17" ht="15" x14ac:dyDescent="0.35">
      <c r="A45" s="5">
        <v>27</v>
      </c>
      <c r="B45" s="5" t="s">
        <v>93</v>
      </c>
      <c r="C45" s="86">
        <f>VLOOKUP(Macrogegevens!$C$2,'Inkomsten 2018'!$B$2:$AG$394,32,0)*1000</f>
        <v>287000</v>
      </c>
      <c r="D45" s="5"/>
      <c r="E45" s="5">
        <v>27</v>
      </c>
      <c r="F45" s="94" t="s">
        <v>705</v>
      </c>
      <c r="G45" s="13">
        <v>0</v>
      </c>
    </row>
    <row r="46" spans="1:17" ht="14.25" customHeight="1" x14ac:dyDescent="0.35">
      <c r="A46" s="5">
        <v>28</v>
      </c>
      <c r="B46" s="5" t="s">
        <v>92</v>
      </c>
      <c r="C46" s="86">
        <f>VLOOKUP(Macrogegevens!$C$2,'Inkomsten 2018'!$B$2:$U$394,20,0)</f>
        <v>119000</v>
      </c>
      <c r="D46" s="5"/>
      <c r="E46" s="5">
        <v>28</v>
      </c>
      <c r="F46" s="3" t="s">
        <v>704</v>
      </c>
      <c r="G46" s="13">
        <v>0</v>
      </c>
    </row>
    <row r="47" spans="1:17" ht="12" customHeight="1" x14ac:dyDescent="0.2">
      <c r="A47" s="5">
        <v>29</v>
      </c>
      <c r="B47" s="12"/>
      <c r="C47" s="252">
        <v>0</v>
      </c>
      <c r="D47" s="5"/>
      <c r="E47" s="5">
        <v>29</v>
      </c>
      <c r="F47" s="5" t="s">
        <v>723</v>
      </c>
      <c r="G47" s="13">
        <v>0</v>
      </c>
    </row>
    <row r="48" spans="1:17" x14ac:dyDescent="0.2">
      <c r="A48" s="5">
        <v>30</v>
      </c>
      <c r="B48" s="12"/>
      <c r="C48" s="252">
        <v>0</v>
      </c>
      <c r="D48" s="5"/>
      <c r="E48" s="5">
        <v>30</v>
      </c>
      <c r="F48" s="3" t="s">
        <v>722</v>
      </c>
      <c r="G48" s="13">
        <v>0</v>
      </c>
    </row>
    <row r="49" spans="1:8" x14ac:dyDescent="0.2">
      <c r="A49" s="5"/>
      <c r="B49" s="5"/>
      <c r="C49" s="9"/>
      <c r="D49" s="5"/>
      <c r="E49" s="5">
        <v>31</v>
      </c>
      <c r="F49" s="3" t="s">
        <v>706</v>
      </c>
      <c r="G49" s="13">
        <v>0</v>
      </c>
    </row>
    <row r="50" spans="1:8" x14ac:dyDescent="0.2">
      <c r="A50" s="5"/>
      <c r="B50" s="5" t="s">
        <v>13</v>
      </c>
      <c r="C50" s="9">
        <f>SUM($C$43:$C$48)</f>
        <v>4109000</v>
      </c>
      <c r="D50" s="5"/>
      <c r="E50" s="5">
        <v>32</v>
      </c>
      <c r="F50" s="12"/>
      <c r="G50" s="13">
        <v>0</v>
      </c>
    </row>
    <row r="51" spans="1:8" x14ac:dyDescent="0.2">
      <c r="A51" s="5"/>
      <c r="B51" s="5"/>
      <c r="C51" s="9"/>
      <c r="D51" s="5"/>
      <c r="E51" s="5">
        <v>33</v>
      </c>
      <c r="F51" s="12"/>
      <c r="G51" s="13">
        <v>0</v>
      </c>
    </row>
    <row r="52" spans="1:8" x14ac:dyDescent="0.2">
      <c r="A52" s="1" t="s">
        <v>14</v>
      </c>
      <c r="B52" s="1" t="s">
        <v>801</v>
      </c>
      <c r="C52" s="4">
        <f>SUM(1,J8,J6)</f>
        <v>1.0335150623257998</v>
      </c>
      <c r="D52" s="5"/>
      <c r="E52" s="5"/>
      <c r="F52" s="5"/>
      <c r="G52" s="5"/>
    </row>
    <row r="53" spans="1:8" ht="15" x14ac:dyDescent="0.35">
      <c r="A53" s="5">
        <v>31</v>
      </c>
      <c r="B53" s="200" t="s">
        <v>81</v>
      </c>
      <c r="C53" s="86">
        <f>VLOOKUP(Macrogegevens!$C$2,'Inkomsten 2018'!$B$2:$AE$394,30,0)*1000</f>
        <v>3716000</v>
      </c>
      <c r="D53" s="5"/>
      <c r="E53" s="5"/>
      <c r="F53" s="5" t="s">
        <v>13</v>
      </c>
      <c r="G53" s="9">
        <f>SUM(G44:G51)</f>
        <v>0</v>
      </c>
    </row>
    <row r="54" spans="1:8" ht="15" x14ac:dyDescent="0.35">
      <c r="A54" s="5">
        <v>32</v>
      </c>
      <c r="B54" s="200" t="s">
        <v>112</v>
      </c>
      <c r="C54" s="74">
        <v>0</v>
      </c>
      <c r="D54" s="5"/>
      <c r="E54" s="5"/>
      <c r="F54" s="5"/>
      <c r="G54" s="5"/>
    </row>
    <row r="55" spans="1:8" ht="15" x14ac:dyDescent="0.35">
      <c r="A55" s="5">
        <v>33</v>
      </c>
      <c r="B55" s="200" t="s">
        <v>714</v>
      </c>
      <c r="C55" s="86">
        <f>VLOOKUP(Macrogegevens!$C$2,'Inkomsten 2018'!$B$2:$R$394,17,0)</f>
        <v>648895</v>
      </c>
      <c r="D55" s="5"/>
      <c r="E55" s="1" t="s">
        <v>14</v>
      </c>
      <c r="F55" s="1" t="s">
        <v>797</v>
      </c>
      <c r="G55" s="4">
        <f>SUM(1,J2,J3,J6)</f>
        <v>1.0411650623257998</v>
      </c>
    </row>
    <row r="56" spans="1:8" x14ac:dyDescent="0.2">
      <c r="A56" s="5">
        <v>34</v>
      </c>
      <c r="B56" s="12"/>
      <c r="C56" s="13">
        <v>0</v>
      </c>
      <c r="D56" s="5"/>
      <c r="E56" s="5">
        <v>34</v>
      </c>
      <c r="F56" s="5" t="s">
        <v>695</v>
      </c>
      <c r="G56" s="13">
        <v>0</v>
      </c>
    </row>
    <row r="57" spans="1:8" x14ac:dyDescent="0.2">
      <c r="A57" s="5">
        <v>35</v>
      </c>
      <c r="B57" s="12"/>
      <c r="C57" s="13">
        <v>0</v>
      </c>
      <c r="D57" s="5"/>
      <c r="E57" s="5">
        <v>35</v>
      </c>
      <c r="F57" s="5" t="s">
        <v>693</v>
      </c>
      <c r="G57" s="13">
        <v>0</v>
      </c>
    </row>
    <row r="58" spans="1:8" x14ac:dyDescent="0.2">
      <c r="A58" s="5">
        <v>36</v>
      </c>
      <c r="B58" s="5" t="s">
        <v>545</v>
      </c>
      <c r="C58" s="9">
        <f>SUM(C83,-C9,-C22,-C32,-C40,-C50,-C53,-C54,-C55,-C56,C57,-C66,-C73,-C80)</f>
        <v>60833555.453525484</v>
      </c>
      <c r="D58" s="5"/>
      <c r="E58" s="5">
        <v>36</v>
      </c>
      <c r="F58" s="5" t="s">
        <v>702</v>
      </c>
      <c r="G58" s="13">
        <v>0</v>
      </c>
    </row>
    <row r="59" spans="1:8" x14ac:dyDescent="0.2">
      <c r="A59" s="5"/>
      <c r="B59" s="5"/>
      <c r="C59" s="9"/>
      <c r="D59" s="5"/>
      <c r="E59" s="5">
        <v>37</v>
      </c>
      <c r="F59" s="5" t="s">
        <v>703</v>
      </c>
      <c r="G59" s="13">
        <v>0</v>
      </c>
    </row>
    <row r="60" spans="1:8" x14ac:dyDescent="0.2">
      <c r="A60" s="5"/>
      <c r="B60" s="5" t="s">
        <v>16</v>
      </c>
      <c r="C60" s="9">
        <f>SUM(C53:C58)</f>
        <v>65198450.453525484</v>
      </c>
      <c r="D60" s="5"/>
      <c r="E60" s="5">
        <v>38</v>
      </c>
      <c r="F60" s="5" t="s">
        <v>701</v>
      </c>
      <c r="G60" s="13">
        <v>0</v>
      </c>
      <c r="H60" s="3">
        <f>IF(C60&lt;0,-C60,C60)</f>
        <v>65198450.453525484</v>
      </c>
    </row>
    <row r="61" spans="1:8" x14ac:dyDescent="0.2">
      <c r="A61" s="5"/>
      <c r="B61" s="5"/>
      <c r="C61" s="9"/>
      <c r="D61" s="5"/>
      <c r="E61" s="5">
        <v>39</v>
      </c>
      <c r="F61" s="5" t="s">
        <v>700</v>
      </c>
      <c r="G61" s="13">
        <v>0</v>
      </c>
    </row>
    <row r="62" spans="1:8" x14ac:dyDescent="0.2">
      <c r="A62" s="1" t="s">
        <v>15</v>
      </c>
      <c r="B62" s="1" t="s">
        <v>105</v>
      </c>
      <c r="C62" s="4">
        <f>SUM(1,(0.8*J2),(0.2*J4),J6)</f>
        <v>1.0286650623257998</v>
      </c>
      <c r="E62" s="5">
        <v>40</v>
      </c>
      <c r="F62" s="12"/>
      <c r="G62" s="13">
        <v>0</v>
      </c>
    </row>
    <row r="63" spans="1:8" ht="15" x14ac:dyDescent="0.35">
      <c r="A63" s="11">
        <v>37</v>
      </c>
      <c r="B63" s="12"/>
      <c r="C63" s="13">
        <v>0</v>
      </c>
      <c r="E63" s="1"/>
      <c r="F63" s="5"/>
      <c r="G63" s="27"/>
    </row>
    <row r="64" spans="1:8" x14ac:dyDescent="0.2">
      <c r="A64" s="11">
        <v>38</v>
      </c>
      <c r="B64" s="12"/>
      <c r="C64" s="13">
        <v>0</v>
      </c>
      <c r="E64" s="5"/>
      <c r="F64" s="5" t="s">
        <v>16</v>
      </c>
      <c r="G64" s="9">
        <f>SUM(G56:G62)</f>
        <v>0</v>
      </c>
    </row>
    <row r="65" spans="1:7" x14ac:dyDescent="0.2">
      <c r="A65" s="11"/>
      <c r="B65" s="5"/>
      <c r="C65" s="9"/>
      <c r="E65" s="5"/>
      <c r="F65" s="5"/>
      <c r="G65" s="5"/>
    </row>
    <row r="66" spans="1:7" ht="15" customHeight="1" x14ac:dyDescent="0.2">
      <c r="A66" s="11"/>
      <c r="B66" s="5" t="s">
        <v>17</v>
      </c>
      <c r="C66" s="9">
        <f>SUM(C63:C64)</f>
        <v>0</v>
      </c>
      <c r="E66" s="1" t="s">
        <v>612</v>
      </c>
      <c r="F66" s="5"/>
      <c r="G66" s="42">
        <f>SUM(($G$2*$G$11),($G$13*$G$21),($G$23*$G$30),($G$32*$H$41),($G$43*$G$53),($G$55*$G$64))/SUM($G$11,$G$21,$G$30,$H$41,$G$53,$G$64)</f>
        <v>1.0337126706292394</v>
      </c>
    </row>
    <row r="67" spans="1:7" ht="12.75" customHeight="1" x14ac:dyDescent="0.35">
      <c r="A67" s="11"/>
      <c r="B67" s="5"/>
      <c r="C67" s="9"/>
      <c r="E67" s="1" t="s">
        <v>618</v>
      </c>
      <c r="F67" s="5"/>
      <c r="G67" s="27">
        <f>SUM($G$89,-$G$85,-$G$86,-$G$87,-$G$88)</f>
        <v>202195642.86554065</v>
      </c>
    </row>
    <row r="68" spans="1:7" x14ac:dyDescent="0.2">
      <c r="A68" s="1" t="s">
        <v>20</v>
      </c>
      <c r="B68" s="1" t="s">
        <v>803</v>
      </c>
      <c r="C68" s="4">
        <f>SUM(1,J2,J3,J4,J6)</f>
        <v>1.0651650623257998</v>
      </c>
      <c r="E68" s="5"/>
      <c r="F68" s="5"/>
      <c r="G68" s="5"/>
    </row>
    <row r="69" spans="1:7" ht="15" x14ac:dyDescent="0.35">
      <c r="A69" s="5">
        <v>39</v>
      </c>
      <c r="B69" s="5" t="s">
        <v>752</v>
      </c>
      <c r="C69" s="86">
        <f>VLOOKUP(Macrogegevens!$C$2,'Inkomsten 2018'!$B$2:$R$394,10,0)</f>
        <v>0</v>
      </c>
      <c r="E69" s="5"/>
      <c r="F69" s="5"/>
      <c r="G69" s="5"/>
    </row>
    <row r="70" spans="1:7" ht="15" x14ac:dyDescent="0.35">
      <c r="A70" s="5">
        <v>40</v>
      </c>
      <c r="B70" s="5" t="s">
        <v>753</v>
      </c>
      <c r="C70" s="86">
        <f>VLOOKUP(Macrogegevens!$C$2,'Inkomsten 2018'!$B$2:$R$394,7,0)</f>
        <v>1191656</v>
      </c>
      <c r="E70" s="5"/>
      <c r="F70" s="5"/>
      <c r="G70" s="5"/>
    </row>
    <row r="71" spans="1:7" x14ac:dyDescent="0.2">
      <c r="A71" s="5">
        <v>41</v>
      </c>
      <c r="B71" s="12"/>
      <c r="C71" s="13">
        <v>0</v>
      </c>
      <c r="E71" s="5"/>
      <c r="F71" s="5"/>
      <c r="G71" s="5"/>
    </row>
    <row r="72" spans="1:7" x14ac:dyDescent="0.2">
      <c r="A72" s="5"/>
      <c r="B72" s="5"/>
      <c r="C72" s="9"/>
      <c r="E72" s="5"/>
      <c r="F72" s="5"/>
      <c r="G72" s="5"/>
    </row>
    <row r="73" spans="1:7" x14ac:dyDescent="0.2">
      <c r="A73" s="5"/>
      <c r="B73" s="5" t="s">
        <v>21</v>
      </c>
      <c r="C73" s="9">
        <f>SUM(C69:C71)</f>
        <v>1191656</v>
      </c>
      <c r="E73" s="5"/>
      <c r="F73" s="5"/>
      <c r="G73" s="5"/>
    </row>
    <row r="74" spans="1:7" x14ac:dyDescent="0.2">
      <c r="A74" s="5"/>
      <c r="B74" s="5"/>
      <c r="C74" s="9"/>
      <c r="E74" s="5"/>
      <c r="F74" s="5"/>
      <c r="G74" s="5"/>
    </row>
    <row r="75" spans="1:7" x14ac:dyDescent="0.2">
      <c r="A75" s="1" t="s">
        <v>82</v>
      </c>
      <c r="B75" s="1" t="s">
        <v>88</v>
      </c>
      <c r="C75" s="10">
        <f>SUM(1,J2,J3,J9)</f>
        <v>1.062530510846746</v>
      </c>
      <c r="E75" s="5"/>
      <c r="F75" s="5"/>
      <c r="G75" s="5"/>
    </row>
    <row r="76" spans="1:7" x14ac:dyDescent="0.2">
      <c r="A76" s="5">
        <v>42</v>
      </c>
      <c r="B76" s="5" t="s">
        <v>644</v>
      </c>
      <c r="C76" s="13">
        <f>VLOOKUP(Macrogegevens!$C$2,'Inkomsten 2018'!$B$2:$Z$394,22,0)*1000</f>
        <v>9474000</v>
      </c>
    </row>
    <row r="77" spans="1:7" x14ac:dyDescent="0.2">
      <c r="A77" s="5">
        <v>43</v>
      </c>
      <c r="B77" s="34" t="s">
        <v>109</v>
      </c>
      <c r="C77" s="22">
        <f>VLOOKUP(Macrogegevens!$C$2,'Inkomsten 2018'!$B$2:$X$394,23,0)*1000</f>
        <v>2343000</v>
      </c>
    </row>
    <row r="78" spans="1:7" x14ac:dyDescent="0.2">
      <c r="A78" s="5">
        <v>44</v>
      </c>
      <c r="B78" s="12"/>
      <c r="C78" s="13">
        <v>0</v>
      </c>
    </row>
    <row r="79" spans="1:7" x14ac:dyDescent="0.2">
      <c r="A79" s="5"/>
      <c r="B79" s="5"/>
      <c r="C79" s="9"/>
    </row>
    <row r="80" spans="1:7" x14ac:dyDescent="0.2">
      <c r="A80" s="5"/>
      <c r="B80" s="5" t="s">
        <v>83</v>
      </c>
      <c r="C80" s="9">
        <f>SUM(C76:C78)</f>
        <v>11817000</v>
      </c>
    </row>
    <row r="81" spans="1:9" x14ac:dyDescent="0.2">
      <c r="A81" s="5"/>
      <c r="B81" s="11"/>
      <c r="C81" s="9"/>
    </row>
    <row r="82" spans="1:9" x14ac:dyDescent="0.2">
      <c r="A82" s="1" t="s">
        <v>19</v>
      </c>
      <c r="B82" s="5"/>
      <c r="C82" s="42">
        <f>SUM((C2*C9),(C11*C22),(C24*C32),(C34*C40),(C42*C50),(C52*H60),(C68*C73),(C75*C80))/SUM(C9,C22,C32,C40,C50,H60,C73,C80)</f>
        <v>1.038410918439669</v>
      </c>
    </row>
    <row r="83" spans="1:9" x14ac:dyDescent="0.2">
      <c r="A83" s="1" t="s">
        <v>613</v>
      </c>
      <c r="B83" s="5"/>
      <c r="C83" s="9">
        <f>SUM(C89,-C85,-C86,-C87,-C88)</f>
        <v>229727484.59999999</v>
      </c>
    </row>
    <row r="84" spans="1:9" x14ac:dyDescent="0.2">
      <c r="A84" s="1"/>
      <c r="B84" s="5"/>
      <c r="C84" s="9"/>
    </row>
    <row r="85" spans="1:9" x14ac:dyDescent="0.2">
      <c r="A85" s="189" t="s">
        <v>614</v>
      </c>
      <c r="B85" s="190"/>
      <c r="C85" s="191">
        <f>'Investeringen &amp; financiering'!T54</f>
        <v>1409515.4</v>
      </c>
      <c r="E85" s="189" t="s">
        <v>619</v>
      </c>
      <c r="F85" s="196"/>
      <c r="G85" s="197">
        <f>SUM(-'Investeringen &amp; financiering'!S6,-'Investeringen &amp; financiering'!S54,-H85,H88)</f>
        <v>2351597.1344593335</v>
      </c>
      <c r="H85" s="30">
        <f>J7*0.5*SUM(Balansprognose!G35,-Balansprognose!G36,-C85,-C86,-C87,G86,G87,-'Investeringen &amp; financiering'!S6,-'Investeringen &amp; financiering'!S54)</f>
        <v>138347.48742222221</v>
      </c>
      <c r="I85" s="23"/>
    </row>
    <row r="86" spans="1:9" x14ac:dyDescent="0.2">
      <c r="A86" s="192" t="s">
        <v>616</v>
      </c>
      <c r="B86" s="135"/>
      <c r="C86" s="193">
        <f>'Investeringen &amp; financiering'!E7</f>
        <v>0</v>
      </c>
      <c r="E86" s="192" t="s">
        <v>620</v>
      </c>
      <c r="F86" s="135"/>
      <c r="G86" s="198">
        <f>Balansprognose!C45</f>
        <v>0</v>
      </c>
      <c r="H86" s="30">
        <f>J7*0.5*SUM(C83,-G67)</f>
        <v>137659.20867229669</v>
      </c>
    </row>
    <row r="87" spans="1:9" x14ac:dyDescent="0.2">
      <c r="A87" s="192" t="s">
        <v>615</v>
      </c>
      <c r="B87" s="135"/>
      <c r="C87" s="193">
        <f>SUM(Balansprognose!C39,Balansprognose!C40)</f>
        <v>0</v>
      </c>
      <c r="E87" s="192" t="s">
        <v>621</v>
      </c>
      <c r="F87" s="135"/>
      <c r="G87" s="198">
        <f>SUM(Balansprognose!C35,Balansprognose!C36)</f>
        <v>13077760</v>
      </c>
      <c r="H87" s="30">
        <f>SUM(H85,-H86)</f>
        <v>688.27874992552097</v>
      </c>
      <c r="I87" s="186"/>
    </row>
    <row r="88" spans="1:9" x14ac:dyDescent="0.2">
      <c r="A88" s="194" t="s">
        <v>624</v>
      </c>
      <c r="B88" s="195"/>
      <c r="C88" s="199">
        <f>Balansprognose!C44</f>
        <v>0</v>
      </c>
      <c r="E88" s="194" t="s">
        <v>622</v>
      </c>
      <c r="F88" s="195"/>
      <c r="G88" s="199">
        <f>Balansprognose!G37</f>
        <v>0</v>
      </c>
      <c r="H88" s="180">
        <f>SUM(J7*0.5*H85,-0.5*J7*G88)</f>
        <v>691.73743711111103</v>
      </c>
    </row>
    <row r="89" spans="1:9" x14ac:dyDescent="0.2">
      <c r="A89" s="2" t="s">
        <v>623</v>
      </c>
      <c r="C89" s="14">
        <f>Balansprognose!G35</f>
        <v>231137000</v>
      </c>
      <c r="E89" s="2" t="s">
        <v>617</v>
      </c>
      <c r="G89" s="14">
        <f>Balansprognose!G36</f>
        <v>217625000</v>
      </c>
      <c r="H89" s="201">
        <f>SUM(H87,-H88)/C89</f>
        <v>-1.4963797166139844E-8</v>
      </c>
    </row>
    <row r="90" spans="1:9" x14ac:dyDescent="0.2">
      <c r="A90" s="1"/>
      <c r="C90" s="107"/>
    </row>
    <row r="91" spans="1:9" x14ac:dyDescent="0.2">
      <c r="C91" s="8"/>
    </row>
    <row r="92" spans="1:9" x14ac:dyDescent="0.2">
      <c r="A92" s="1"/>
      <c r="C92" s="14"/>
    </row>
    <row r="93" spans="1:9" x14ac:dyDescent="0.2">
      <c r="A93" s="2"/>
      <c r="C93" s="14"/>
    </row>
  </sheetData>
  <sheetProtection algorithmName="SHA-512" hashValue="zqKMDkz1YYUXBWnAT5U+mfF+Q1HpBLF5pfhQWu680EzinryL0C5d2CwguAw1CyDT/y6xA2k1hos2XWxH70M5sg==" saltValue="LYI8Z3RLR+0RDW+XUhhqTw==" spinCount="100000" sheet="1" scenarios="1" selectLockedCells="1"/>
  <customSheetViews>
    <customSheetView guid="{B41B624D-DA5C-4FA3-85F1-D5B8087B6A65}" topLeftCell="C1">
      <selection activeCell="J15" sqref="J15"/>
      <pageMargins left="0.7" right="0.7" top="0.75" bottom="0.75" header="0.3" footer="0.3"/>
      <pageSetup paperSize="9" orientation="portrait" r:id="rId1"/>
    </customSheetView>
  </customSheetViews>
  <mergeCells count="1">
    <mergeCell ref="A1:B1"/>
  </mergeCells>
  <dataValidations count="1">
    <dataValidation allowBlank="1" showErrorMessage="1" sqref="J12 M13"/>
  </dataValidation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67"/>
  <sheetViews>
    <sheetView topLeftCell="I1" workbookViewId="0">
      <selection activeCell="D17" sqref="D17"/>
    </sheetView>
  </sheetViews>
  <sheetFormatPr defaultRowHeight="12.75" x14ac:dyDescent="0.2"/>
  <cols>
    <col min="1" max="1" width="9.140625" bestFit="1" customWidth="1"/>
    <col min="2" max="2" width="26.140625" bestFit="1" customWidth="1"/>
    <col min="3" max="3" width="13.28515625" bestFit="1" customWidth="1"/>
    <col min="4" max="4" width="20.140625" bestFit="1" customWidth="1"/>
    <col min="5" max="5" width="20.28515625" bestFit="1" customWidth="1"/>
    <col min="6" max="6" width="22.28515625" bestFit="1" customWidth="1"/>
    <col min="7" max="7" width="18" style="83" bestFit="1" customWidth="1"/>
    <col min="8" max="9" width="19.7109375" style="83" bestFit="1" customWidth="1"/>
    <col min="10" max="11" width="20.42578125" style="83" bestFit="1" customWidth="1"/>
    <col min="12" max="12" width="19.7109375" style="83" bestFit="1" customWidth="1"/>
    <col min="13" max="13" width="23" style="103" bestFit="1" customWidth="1"/>
    <col min="14" max="14" width="7" style="214" bestFit="1" customWidth="1"/>
    <col min="15" max="15" width="7.85546875" style="214" bestFit="1" customWidth="1"/>
    <col min="16" max="17" width="6.28515625" style="216" bestFit="1" customWidth="1"/>
    <col min="18" max="18" width="6.28515625" style="217" bestFit="1" customWidth="1"/>
    <col min="19" max="24" width="6.28515625" style="216" bestFit="1" customWidth="1"/>
    <col min="25" max="38" width="6" bestFit="1" customWidth="1"/>
    <col min="40" max="98" width="6" bestFit="1" customWidth="1"/>
  </cols>
  <sheetData>
    <row r="1" spans="1:24" x14ac:dyDescent="0.2">
      <c r="A1" s="92" t="s">
        <v>732</v>
      </c>
      <c r="B1" s="125" t="s">
        <v>642</v>
      </c>
      <c r="C1" s="85" t="s">
        <v>678</v>
      </c>
      <c r="D1" s="85" t="s">
        <v>917</v>
      </c>
      <c r="E1" s="85" t="s">
        <v>680</v>
      </c>
      <c r="F1" s="85" t="s">
        <v>845</v>
      </c>
      <c r="G1" s="85" t="s">
        <v>770</v>
      </c>
      <c r="H1" s="85" t="s">
        <v>775</v>
      </c>
      <c r="I1" s="92" t="s">
        <v>774</v>
      </c>
      <c r="J1" s="92" t="s">
        <v>773</v>
      </c>
      <c r="K1" s="85" t="s">
        <v>772</v>
      </c>
      <c r="L1" s="85" t="s">
        <v>771</v>
      </c>
      <c r="M1" s="85" t="s">
        <v>687</v>
      </c>
      <c r="N1" s="218">
        <v>2016</v>
      </c>
      <c r="O1" s="258" t="s">
        <v>667</v>
      </c>
      <c r="P1" s="219" t="s">
        <v>668</v>
      </c>
      <c r="Q1" s="219" t="s">
        <v>669</v>
      </c>
      <c r="R1" s="219" t="s">
        <v>670</v>
      </c>
      <c r="S1" s="219" t="s">
        <v>671</v>
      </c>
      <c r="T1" s="219" t="s">
        <v>672</v>
      </c>
      <c r="U1" s="219" t="s">
        <v>673</v>
      </c>
      <c r="V1" s="219" t="s">
        <v>674</v>
      </c>
      <c r="W1" s="219" t="s">
        <v>675</v>
      </c>
      <c r="X1" s="219" t="s">
        <v>676</v>
      </c>
    </row>
    <row r="2" spans="1:24" x14ac:dyDescent="0.2">
      <c r="A2" t="s">
        <v>628</v>
      </c>
      <c r="B2" s="125" t="s">
        <v>143</v>
      </c>
      <c r="C2" s="89">
        <f>(SUM(X2*1000,-O2)/9)/O2</f>
        <v>-3.4953257127358466E-3</v>
      </c>
      <c r="D2" t="s">
        <v>155</v>
      </c>
      <c r="E2" s="89">
        <f>SUM(G2,-K2)/SUM(G2,H2,I2,J2,K2)</f>
        <v>1.6338298894762134E-2</v>
      </c>
      <c r="F2" s="214">
        <v>25399</v>
      </c>
      <c r="G2" s="83">
        <v>2160</v>
      </c>
      <c r="H2" s="83">
        <v>2150</v>
      </c>
      <c r="I2" s="83">
        <v>2080</v>
      </c>
      <c r="J2" s="83">
        <v>2025</v>
      </c>
      <c r="K2" s="83">
        <v>1990</v>
      </c>
      <c r="L2" s="83">
        <v>1327000</v>
      </c>
      <c r="M2" s="103" t="s">
        <v>143</v>
      </c>
      <c r="N2" s="214">
        <v>25279</v>
      </c>
      <c r="O2" s="214">
        <v>25399</v>
      </c>
      <c r="P2" s="216">
        <v>25.5</v>
      </c>
      <c r="Q2" s="216">
        <v>25.4</v>
      </c>
      <c r="R2" s="216">
        <v>25.3</v>
      </c>
      <c r="S2" s="216">
        <v>25.1</v>
      </c>
      <c r="T2" s="216">
        <v>25</v>
      </c>
      <c r="U2" s="216">
        <v>24.9</v>
      </c>
      <c r="V2" s="216">
        <v>24.8</v>
      </c>
      <c r="W2" s="216">
        <v>24.7</v>
      </c>
      <c r="X2" s="216">
        <v>24.6</v>
      </c>
    </row>
    <row r="3" spans="1:24" x14ac:dyDescent="0.2">
      <c r="A3" t="s">
        <v>629</v>
      </c>
      <c r="B3" s="125" t="s">
        <v>416</v>
      </c>
      <c r="C3" s="89">
        <f t="shared" ref="C3:C66" si="0">(SUM(X3*1000,-O3)/9)/O3</f>
        <v>3.0180831367774986E-3</v>
      </c>
      <c r="D3" t="s">
        <v>555</v>
      </c>
      <c r="E3" s="89">
        <f t="shared" ref="E3:E66" si="1">SUM(G3,-K3)/SUM(G3,H3,I3,J3,K3)</f>
        <v>2.3943661971830985E-2</v>
      </c>
      <c r="F3" s="214">
        <v>13143</v>
      </c>
      <c r="G3" s="83">
        <v>1500</v>
      </c>
      <c r="H3" s="83">
        <v>1480</v>
      </c>
      <c r="I3" s="83">
        <v>1425</v>
      </c>
      <c r="J3" s="83">
        <v>1365</v>
      </c>
      <c r="K3" s="83">
        <v>1330</v>
      </c>
      <c r="L3" s="83">
        <v>9512000</v>
      </c>
      <c r="M3" s="103" t="s">
        <v>416</v>
      </c>
      <c r="N3" s="214">
        <v>13070</v>
      </c>
      <c r="O3" s="214">
        <v>13143</v>
      </c>
      <c r="P3" s="216">
        <v>13</v>
      </c>
      <c r="Q3" s="216">
        <v>13.1</v>
      </c>
      <c r="R3" s="216">
        <v>13.1</v>
      </c>
      <c r="S3" s="216">
        <v>13.2</v>
      </c>
      <c r="T3" s="216">
        <v>13.3</v>
      </c>
      <c r="U3" s="216">
        <v>13.3</v>
      </c>
      <c r="V3" s="216">
        <v>13.4</v>
      </c>
      <c r="W3" s="216">
        <v>13.4</v>
      </c>
      <c r="X3" s="216">
        <v>13.5</v>
      </c>
    </row>
    <row r="4" spans="1:24" x14ac:dyDescent="0.2">
      <c r="A4" t="s">
        <v>630</v>
      </c>
      <c r="B4" s="125" t="s">
        <v>301</v>
      </c>
      <c r="C4" s="89">
        <f t="shared" si="0"/>
        <v>4.2254812745575361E-3</v>
      </c>
      <c r="D4" t="s">
        <v>555</v>
      </c>
      <c r="E4" s="89">
        <f t="shared" si="1"/>
        <v>2.5648949320148332E-2</v>
      </c>
      <c r="F4" s="214">
        <v>31502</v>
      </c>
      <c r="G4" s="83">
        <v>3445</v>
      </c>
      <c r="H4" s="83">
        <v>3355</v>
      </c>
      <c r="I4" s="83">
        <v>3260</v>
      </c>
      <c r="J4" s="83">
        <v>3090</v>
      </c>
      <c r="K4" s="83">
        <v>3030</v>
      </c>
      <c r="L4" s="83">
        <v>19108000</v>
      </c>
      <c r="M4" s="103" t="s">
        <v>301</v>
      </c>
      <c r="N4" s="214">
        <v>31382</v>
      </c>
      <c r="O4" s="214">
        <v>31502</v>
      </c>
      <c r="P4" s="216">
        <v>32.299999999999997</v>
      </c>
      <c r="Q4" s="216">
        <v>32.6</v>
      </c>
      <c r="R4" s="216">
        <v>32.799999999999997</v>
      </c>
      <c r="S4" s="216">
        <v>33</v>
      </c>
      <c r="T4" s="216">
        <v>33.1</v>
      </c>
      <c r="U4" s="216">
        <v>32.9</v>
      </c>
      <c r="V4" s="216">
        <v>32.700000000000003</v>
      </c>
      <c r="W4" s="216">
        <v>32.700000000000003</v>
      </c>
      <c r="X4" s="216">
        <v>32.700000000000003</v>
      </c>
    </row>
    <row r="5" spans="1:24" x14ac:dyDescent="0.2">
      <c r="A5" t="s">
        <v>631</v>
      </c>
      <c r="B5" s="125" t="s">
        <v>223</v>
      </c>
      <c r="C5" s="89">
        <f t="shared" si="0"/>
        <v>-6.4409252185093149E-3</v>
      </c>
      <c r="D5" t="s">
        <v>155</v>
      </c>
      <c r="E5" s="89">
        <f t="shared" si="1"/>
        <v>2.1330624682579988E-2</v>
      </c>
      <c r="F5" s="214">
        <v>26963</v>
      </c>
      <c r="G5" s="83">
        <v>2075</v>
      </c>
      <c r="H5" s="83">
        <v>2030</v>
      </c>
      <c r="I5" s="83">
        <v>1985</v>
      </c>
      <c r="J5" s="83">
        <v>1890</v>
      </c>
      <c r="K5" s="83">
        <v>1865</v>
      </c>
      <c r="L5" s="83">
        <v>-4672000</v>
      </c>
      <c r="M5" s="103" t="s">
        <v>223</v>
      </c>
      <c r="N5" s="214">
        <v>27050</v>
      </c>
      <c r="O5" s="214">
        <v>26963</v>
      </c>
      <c r="P5" s="216">
        <v>26.7</v>
      </c>
      <c r="Q5" s="216">
        <v>26.6</v>
      </c>
      <c r="R5" s="216">
        <v>26.4</v>
      </c>
      <c r="S5" s="216">
        <v>26.3</v>
      </c>
      <c r="T5" s="216">
        <v>26.1</v>
      </c>
      <c r="U5" s="216">
        <v>25.9</v>
      </c>
      <c r="V5" s="216">
        <v>25.8</v>
      </c>
      <c r="W5" s="216">
        <v>25.6</v>
      </c>
      <c r="X5" s="216">
        <v>25.4</v>
      </c>
    </row>
    <row r="6" spans="1:24" x14ac:dyDescent="0.2">
      <c r="A6" t="s">
        <v>632</v>
      </c>
      <c r="B6" s="125" t="s">
        <v>179</v>
      </c>
      <c r="C6" s="89">
        <f t="shared" si="0"/>
        <v>-4.9340272803959963E-4</v>
      </c>
      <c r="D6" t="s">
        <v>155</v>
      </c>
      <c r="E6" s="89">
        <f t="shared" si="1"/>
        <v>2.0220588235294119E-2</v>
      </c>
      <c r="F6" s="214">
        <v>27924</v>
      </c>
      <c r="G6" s="83">
        <v>2285</v>
      </c>
      <c r="H6" s="83">
        <v>2260</v>
      </c>
      <c r="I6" s="83">
        <v>2170</v>
      </c>
      <c r="J6" s="83">
        <v>2100</v>
      </c>
      <c r="K6" s="83">
        <v>2065</v>
      </c>
      <c r="L6" s="83">
        <v>33861000</v>
      </c>
      <c r="M6" s="103" t="s">
        <v>179</v>
      </c>
      <c r="N6" s="214">
        <v>27894</v>
      </c>
      <c r="O6" s="214">
        <v>27924</v>
      </c>
      <c r="P6" s="216">
        <v>28</v>
      </c>
      <c r="Q6" s="216">
        <v>28</v>
      </c>
      <c r="R6" s="216">
        <v>28</v>
      </c>
      <c r="S6" s="216">
        <v>28</v>
      </c>
      <c r="T6" s="216">
        <v>28</v>
      </c>
      <c r="U6" s="216">
        <v>27.9</v>
      </c>
      <c r="V6" s="216">
        <v>27.9</v>
      </c>
      <c r="W6" s="216">
        <v>27.8</v>
      </c>
      <c r="X6" s="216">
        <v>27.8</v>
      </c>
    </row>
    <row r="7" spans="1:24" x14ac:dyDescent="0.2">
      <c r="A7" t="s">
        <v>633</v>
      </c>
      <c r="B7" s="125" t="s">
        <v>346</v>
      </c>
      <c r="C7" s="89">
        <f t="shared" si="0"/>
        <v>4.8301937074235078E-4</v>
      </c>
      <c r="D7" t="s">
        <v>555</v>
      </c>
      <c r="E7" s="89">
        <f t="shared" si="1"/>
        <v>2.0752269779507133E-2</v>
      </c>
      <c r="F7" s="214">
        <v>20013</v>
      </c>
      <c r="G7" s="83">
        <v>1635</v>
      </c>
      <c r="H7" s="83">
        <v>1585</v>
      </c>
      <c r="I7" s="83">
        <v>1520</v>
      </c>
      <c r="J7" s="83">
        <v>1495</v>
      </c>
      <c r="K7" s="83">
        <v>1475</v>
      </c>
      <c r="L7" s="83">
        <v>31569000</v>
      </c>
      <c r="M7" s="103" t="s">
        <v>346</v>
      </c>
      <c r="N7" s="214">
        <v>20015</v>
      </c>
      <c r="O7" s="214">
        <v>20013</v>
      </c>
      <c r="P7" s="216">
        <v>20.100000000000001</v>
      </c>
      <c r="Q7" s="216">
        <v>20.2</v>
      </c>
      <c r="R7" s="216">
        <v>20.100000000000001</v>
      </c>
      <c r="S7" s="216">
        <v>20.100000000000001</v>
      </c>
      <c r="T7" s="216">
        <v>20.100000000000001</v>
      </c>
      <c r="U7" s="216">
        <v>20.100000000000001</v>
      </c>
      <c r="V7" s="216">
        <v>20.100000000000001</v>
      </c>
      <c r="W7" s="216">
        <v>20.100000000000001</v>
      </c>
      <c r="X7" s="216">
        <v>20.100000000000001</v>
      </c>
    </row>
    <row r="8" spans="1:24" x14ac:dyDescent="0.2">
      <c r="A8" t="s">
        <v>633</v>
      </c>
      <c r="B8" s="125" t="s">
        <v>347</v>
      </c>
      <c r="C8" s="89">
        <f t="shared" si="0"/>
        <v>-5.4000722358765654E-3</v>
      </c>
      <c r="D8" t="s">
        <v>555</v>
      </c>
      <c r="E8" s="89">
        <f t="shared" si="1"/>
        <v>2.650081124932396E-2</v>
      </c>
      <c r="F8" s="214">
        <v>25226</v>
      </c>
      <c r="G8" s="83">
        <v>1960</v>
      </c>
      <c r="H8" s="83">
        <v>1930</v>
      </c>
      <c r="I8" s="83">
        <v>1855</v>
      </c>
      <c r="J8" s="83">
        <v>1785</v>
      </c>
      <c r="K8" s="83">
        <v>1715</v>
      </c>
      <c r="L8" s="83">
        <v>34111000</v>
      </c>
      <c r="M8" s="103" t="s">
        <v>347</v>
      </c>
      <c r="N8" s="214">
        <v>25106</v>
      </c>
      <c r="O8" s="214">
        <v>25226</v>
      </c>
      <c r="P8" s="216">
        <v>24.9</v>
      </c>
      <c r="Q8" s="216">
        <v>24.7</v>
      </c>
      <c r="R8" s="216">
        <v>24.5</v>
      </c>
      <c r="S8" s="216">
        <v>24.5</v>
      </c>
      <c r="T8" s="216">
        <v>24.6</v>
      </c>
      <c r="U8" s="216">
        <v>24.6</v>
      </c>
      <c r="V8" s="216">
        <v>24.5</v>
      </c>
      <c r="W8" s="216">
        <v>24.2</v>
      </c>
      <c r="X8" s="216">
        <v>24</v>
      </c>
    </row>
    <row r="9" spans="1:24" x14ac:dyDescent="0.2">
      <c r="A9" t="s">
        <v>630</v>
      </c>
      <c r="B9" s="125" t="s">
        <v>302</v>
      </c>
      <c r="C9" s="89">
        <f t="shared" si="0"/>
        <v>6.2467997951868928E-3</v>
      </c>
      <c r="D9" t="s">
        <v>526</v>
      </c>
      <c r="E9" s="89">
        <f t="shared" si="1"/>
        <v>2.7093308419946279E-2</v>
      </c>
      <c r="F9" s="214">
        <v>108500</v>
      </c>
      <c r="G9" s="83">
        <v>9405</v>
      </c>
      <c r="H9" s="83">
        <v>9100</v>
      </c>
      <c r="I9" s="83">
        <v>8840</v>
      </c>
      <c r="J9" s="83">
        <v>7225</v>
      </c>
      <c r="K9" s="83">
        <v>8245</v>
      </c>
      <c r="L9" s="83">
        <v>312859000</v>
      </c>
      <c r="M9" s="103" t="s">
        <v>302</v>
      </c>
      <c r="N9" s="214">
        <v>108437</v>
      </c>
      <c r="O9" s="214">
        <v>108500</v>
      </c>
      <c r="P9" s="216">
        <v>109.9</v>
      </c>
      <c r="Q9" s="216">
        <v>110.7</v>
      </c>
      <c r="R9" s="216">
        <v>111.4</v>
      </c>
      <c r="S9" s="216">
        <v>112</v>
      </c>
      <c r="T9" s="216">
        <v>112.7</v>
      </c>
      <c r="U9" s="216">
        <v>113.3</v>
      </c>
      <c r="V9" s="216">
        <v>113.9</v>
      </c>
      <c r="W9" s="216">
        <v>114.2</v>
      </c>
      <c r="X9" s="216">
        <v>114.6</v>
      </c>
    </row>
    <row r="10" spans="1:24" x14ac:dyDescent="0.2">
      <c r="A10" t="s">
        <v>634</v>
      </c>
      <c r="B10" s="125" t="s">
        <v>199</v>
      </c>
      <c r="C10" s="89">
        <f t="shared" si="0"/>
        <v>2.8921237828979078E-4</v>
      </c>
      <c r="D10" t="s">
        <v>526</v>
      </c>
      <c r="E10" s="89">
        <f t="shared" si="1"/>
        <v>1.6341256366723261E-2</v>
      </c>
      <c r="F10" s="214">
        <v>72611</v>
      </c>
      <c r="G10" s="83">
        <v>4945</v>
      </c>
      <c r="H10" s="83">
        <v>4870</v>
      </c>
      <c r="I10" s="83">
        <v>4680</v>
      </c>
      <c r="J10" s="83">
        <v>4505</v>
      </c>
      <c r="K10" s="83">
        <v>4560</v>
      </c>
      <c r="L10" s="83">
        <v>243520000</v>
      </c>
      <c r="M10" s="103" t="s">
        <v>199</v>
      </c>
      <c r="N10" s="214">
        <v>72487</v>
      </c>
      <c r="O10" s="214">
        <v>72611</v>
      </c>
      <c r="P10" s="216">
        <v>72.5</v>
      </c>
      <c r="Q10" s="216">
        <v>72.7</v>
      </c>
      <c r="R10" s="216">
        <v>72.7</v>
      </c>
      <c r="S10" s="216">
        <v>72.7</v>
      </c>
      <c r="T10" s="216">
        <v>72.599999999999994</v>
      </c>
      <c r="U10" s="216">
        <v>72.7</v>
      </c>
      <c r="V10" s="216">
        <v>72.7</v>
      </c>
      <c r="W10" s="216">
        <v>72.7</v>
      </c>
      <c r="X10" s="216">
        <v>72.8</v>
      </c>
    </row>
    <row r="11" spans="1:24" x14ac:dyDescent="0.2">
      <c r="A11" t="s">
        <v>635</v>
      </c>
      <c r="B11" s="125" t="s">
        <v>511</v>
      </c>
      <c r="C11" s="89">
        <f t="shared" si="0"/>
        <v>8.2806228631902533E-3</v>
      </c>
      <c r="D11" t="s">
        <v>526</v>
      </c>
      <c r="E11" s="89">
        <f t="shared" si="1"/>
        <v>3.2653350332908344E-2</v>
      </c>
      <c r="F11" s="214">
        <v>203997</v>
      </c>
      <c r="G11" s="83">
        <v>15290</v>
      </c>
      <c r="H11" s="83">
        <v>14840</v>
      </c>
      <c r="I11" s="83">
        <v>14165</v>
      </c>
      <c r="J11" s="83">
        <v>13310</v>
      </c>
      <c r="K11" s="83">
        <v>12985</v>
      </c>
      <c r="L11" s="83">
        <v>480119000</v>
      </c>
      <c r="M11" s="103" t="s">
        <v>511</v>
      </c>
      <c r="N11" s="214">
        <v>200954</v>
      </c>
      <c r="O11" s="214">
        <v>203997</v>
      </c>
      <c r="P11" s="216">
        <v>202.5</v>
      </c>
      <c r="Q11" s="216">
        <v>204.4</v>
      </c>
      <c r="R11" s="216">
        <v>206.3</v>
      </c>
      <c r="S11" s="216">
        <v>208.3</v>
      </c>
      <c r="T11" s="216">
        <v>210.3</v>
      </c>
      <c r="U11" s="216">
        <v>212.3</v>
      </c>
      <c r="V11" s="216">
        <v>214.5</v>
      </c>
      <c r="W11" s="216">
        <v>216.7</v>
      </c>
      <c r="X11" s="216">
        <v>219.2</v>
      </c>
    </row>
    <row r="12" spans="1:24" x14ac:dyDescent="0.2">
      <c r="A12" t="s">
        <v>633</v>
      </c>
      <c r="B12" s="125" t="s">
        <v>348</v>
      </c>
      <c r="C12" s="89">
        <f t="shared" si="0"/>
        <v>2.8703053587476432E-3</v>
      </c>
      <c r="D12" t="s">
        <v>555</v>
      </c>
      <c r="E12" s="89">
        <f t="shared" si="1"/>
        <v>1.9917198164932304E-2</v>
      </c>
      <c r="F12" s="214">
        <v>109667</v>
      </c>
      <c r="G12" s="83">
        <v>9415</v>
      </c>
      <c r="H12" s="83">
        <v>9240</v>
      </c>
      <c r="I12" s="83">
        <v>8910</v>
      </c>
      <c r="J12" s="83">
        <v>8595</v>
      </c>
      <c r="K12" s="83">
        <v>8525</v>
      </c>
      <c r="L12" s="83">
        <v>30836000</v>
      </c>
      <c r="M12" s="103" t="s">
        <v>348</v>
      </c>
      <c r="N12" s="214">
        <v>108918</v>
      </c>
      <c r="O12" s="214">
        <v>109667</v>
      </c>
      <c r="P12" s="216">
        <v>109.4</v>
      </c>
      <c r="Q12" s="216">
        <v>109.9</v>
      </c>
      <c r="R12" s="216">
        <v>110.4</v>
      </c>
      <c r="S12" s="216">
        <v>110.9</v>
      </c>
      <c r="T12" s="216">
        <v>111.4</v>
      </c>
      <c r="U12" s="216">
        <v>111.8</v>
      </c>
      <c r="V12" s="216">
        <v>112.1</v>
      </c>
      <c r="W12" s="216">
        <v>112.4</v>
      </c>
      <c r="X12" s="216">
        <v>112.5</v>
      </c>
    </row>
    <row r="13" spans="1:24" x14ac:dyDescent="0.2">
      <c r="A13" t="s">
        <v>629</v>
      </c>
      <c r="B13" s="125" t="s">
        <v>417</v>
      </c>
      <c r="C13" s="89">
        <f t="shared" si="0"/>
        <v>-3.1185603931810418E-3</v>
      </c>
      <c r="D13" t="s">
        <v>555</v>
      </c>
      <c r="E13" s="89">
        <f t="shared" si="1"/>
        <v>2.3744292237442923E-2</v>
      </c>
      <c r="F13" s="214">
        <v>10083</v>
      </c>
      <c r="G13" s="83">
        <v>1160</v>
      </c>
      <c r="H13" s="83">
        <v>1125</v>
      </c>
      <c r="I13" s="83">
        <v>1120</v>
      </c>
      <c r="J13" s="83">
        <v>1040</v>
      </c>
      <c r="K13" s="83">
        <v>1030</v>
      </c>
      <c r="L13" s="83">
        <v>7733000</v>
      </c>
      <c r="M13" s="103" t="s">
        <v>417</v>
      </c>
      <c r="N13" s="214">
        <v>10052</v>
      </c>
      <c r="O13" s="214">
        <v>10083</v>
      </c>
      <c r="P13" s="216">
        <v>9.8000000000000007</v>
      </c>
      <c r="Q13" s="216">
        <v>9.6999999999999993</v>
      </c>
      <c r="R13" s="216">
        <v>9.6999999999999993</v>
      </c>
      <c r="S13" s="216">
        <v>9.6999999999999993</v>
      </c>
      <c r="T13" s="216">
        <v>9.8000000000000007</v>
      </c>
      <c r="U13" s="216">
        <v>9.8000000000000007</v>
      </c>
      <c r="V13" s="216">
        <v>9.8000000000000007</v>
      </c>
      <c r="W13" s="216">
        <v>9.8000000000000007</v>
      </c>
      <c r="X13" s="216">
        <v>9.8000000000000007</v>
      </c>
    </row>
    <row r="14" spans="1:24" x14ac:dyDescent="0.2">
      <c r="A14" t="s">
        <v>632</v>
      </c>
      <c r="B14" s="125" t="s">
        <v>180</v>
      </c>
      <c r="C14" s="89">
        <f t="shared" si="0"/>
        <v>1.3987715137140423E-3</v>
      </c>
      <c r="D14" t="s">
        <v>155</v>
      </c>
      <c r="E14" s="89">
        <f t="shared" si="1"/>
        <v>1.3861386138613862E-2</v>
      </c>
      <c r="F14" s="214">
        <v>3654</v>
      </c>
      <c r="G14" s="83">
        <v>520</v>
      </c>
      <c r="H14" s="83">
        <v>525</v>
      </c>
      <c r="I14" s="83">
        <v>505</v>
      </c>
      <c r="J14" s="83">
        <v>490</v>
      </c>
      <c r="K14" s="83">
        <v>485</v>
      </c>
      <c r="L14" s="83">
        <v>15203000</v>
      </c>
      <c r="M14" s="103" t="s">
        <v>180</v>
      </c>
      <c r="N14" s="214">
        <v>3633</v>
      </c>
      <c r="O14" s="214">
        <v>3654</v>
      </c>
      <c r="P14" s="216">
        <v>3.7</v>
      </c>
      <c r="Q14" s="216">
        <v>3.7</v>
      </c>
      <c r="R14" s="216">
        <v>3.7</v>
      </c>
      <c r="S14" s="216">
        <v>3.7</v>
      </c>
      <c r="T14" s="216">
        <v>3.7</v>
      </c>
      <c r="U14" s="216">
        <v>3.7</v>
      </c>
      <c r="V14" s="216">
        <v>3.7</v>
      </c>
      <c r="W14" s="216">
        <v>3.7</v>
      </c>
      <c r="X14" s="216">
        <v>3.7</v>
      </c>
    </row>
    <row r="15" spans="1:24" x14ac:dyDescent="0.2">
      <c r="A15" t="s">
        <v>636</v>
      </c>
      <c r="B15" s="125" t="s">
        <v>276</v>
      </c>
      <c r="C15" s="89">
        <f t="shared" si="0"/>
        <v>8.5794972564936806E-3</v>
      </c>
      <c r="D15" t="s">
        <v>526</v>
      </c>
      <c r="E15" s="89">
        <f t="shared" si="1"/>
        <v>3.0032848427968089E-2</v>
      </c>
      <c r="F15" s="214">
        <v>155215</v>
      </c>
      <c r="G15" s="83">
        <v>13735</v>
      </c>
      <c r="H15" s="83">
        <v>13375</v>
      </c>
      <c r="I15" s="83">
        <v>12785</v>
      </c>
      <c r="J15" s="83">
        <v>12220</v>
      </c>
      <c r="K15" s="83">
        <v>11815</v>
      </c>
      <c r="L15" s="83">
        <v>361323000</v>
      </c>
      <c r="M15" s="103" t="s">
        <v>276</v>
      </c>
      <c r="N15" s="214">
        <v>154338</v>
      </c>
      <c r="O15" s="214">
        <v>155215</v>
      </c>
      <c r="P15" s="216">
        <v>157.1</v>
      </c>
      <c r="Q15" s="216">
        <v>158.69999999999999</v>
      </c>
      <c r="R15" s="216">
        <v>160.1</v>
      </c>
      <c r="S15" s="216">
        <v>161.4</v>
      </c>
      <c r="T15" s="216">
        <v>162.5</v>
      </c>
      <c r="U15" s="216">
        <v>163.6</v>
      </c>
      <c r="V15" s="216">
        <v>164.6</v>
      </c>
      <c r="W15" s="216">
        <v>165.9</v>
      </c>
      <c r="X15" s="216">
        <v>167.2</v>
      </c>
    </row>
    <row r="16" spans="1:24" x14ac:dyDescent="0.2">
      <c r="A16" t="s">
        <v>630</v>
      </c>
      <c r="B16" s="125" t="s">
        <v>303</v>
      </c>
      <c r="C16" s="89">
        <f t="shared" si="0"/>
        <v>1.0265062325799854E-2</v>
      </c>
      <c r="D16" t="s">
        <v>155</v>
      </c>
      <c r="E16" s="89">
        <f t="shared" si="1"/>
        <v>3.1630510846745979E-2</v>
      </c>
      <c r="F16" s="214">
        <v>89895</v>
      </c>
      <c r="G16" s="83">
        <v>7790</v>
      </c>
      <c r="H16" s="83">
        <v>7455</v>
      </c>
      <c r="I16" s="83">
        <v>7085</v>
      </c>
      <c r="J16" s="83">
        <v>6735</v>
      </c>
      <c r="K16" s="83">
        <v>6660</v>
      </c>
      <c r="L16" s="83">
        <v>-49104000</v>
      </c>
      <c r="M16" s="103" t="s">
        <v>303</v>
      </c>
      <c r="N16" s="214">
        <v>89298</v>
      </c>
      <c r="O16" s="214">
        <v>89895</v>
      </c>
      <c r="P16" s="216">
        <v>91.3</v>
      </c>
      <c r="Q16" s="216">
        <v>92.5</v>
      </c>
      <c r="R16" s="216">
        <v>93.4</v>
      </c>
      <c r="S16" s="216">
        <v>94.3</v>
      </c>
      <c r="T16" s="216">
        <v>95.3</v>
      </c>
      <c r="U16" s="216">
        <v>96.2</v>
      </c>
      <c r="V16" s="216">
        <v>96.9</v>
      </c>
      <c r="W16" s="216">
        <v>97.6</v>
      </c>
      <c r="X16" s="216">
        <v>98.2</v>
      </c>
    </row>
    <row r="17" spans="1:24" x14ac:dyDescent="0.2">
      <c r="A17" t="s">
        <v>630</v>
      </c>
      <c r="B17" s="125" t="s">
        <v>304</v>
      </c>
      <c r="C17" s="89">
        <f t="shared" si="0"/>
        <v>1.0178287497027157E-2</v>
      </c>
      <c r="D17" t="s">
        <v>526</v>
      </c>
      <c r="E17" s="89">
        <f t="shared" si="1"/>
        <v>3.8964324871383994E-2</v>
      </c>
      <c r="F17" s="214">
        <v>855896</v>
      </c>
      <c r="G17" s="83">
        <v>118195</v>
      </c>
      <c r="H17" s="83">
        <v>112515</v>
      </c>
      <c r="I17" s="83">
        <v>105990</v>
      </c>
      <c r="J17" s="83">
        <v>99460</v>
      </c>
      <c r="K17" s="83">
        <v>97405</v>
      </c>
      <c r="L17" s="83">
        <v>2720408000</v>
      </c>
      <c r="M17" s="103" t="s">
        <v>304</v>
      </c>
      <c r="N17" s="214">
        <v>848861</v>
      </c>
      <c r="O17" s="214">
        <v>855896</v>
      </c>
      <c r="P17" s="216">
        <v>859.7</v>
      </c>
      <c r="Q17" s="216">
        <v>870.9</v>
      </c>
      <c r="R17" s="216">
        <v>880</v>
      </c>
      <c r="S17" s="216">
        <v>888.1</v>
      </c>
      <c r="T17" s="216">
        <v>896.2</v>
      </c>
      <c r="U17" s="216">
        <v>905.8</v>
      </c>
      <c r="V17" s="216">
        <v>915.3</v>
      </c>
      <c r="W17" s="216">
        <v>925</v>
      </c>
      <c r="X17" s="216">
        <v>934.3</v>
      </c>
    </row>
    <row r="18" spans="1:24" x14ac:dyDescent="0.2">
      <c r="A18" t="s">
        <v>631</v>
      </c>
      <c r="B18" s="125" t="s">
        <v>224</v>
      </c>
      <c r="C18" s="89">
        <f t="shared" si="0"/>
        <v>-5.3838714102640993E-4</v>
      </c>
      <c r="D18" t="s">
        <v>526</v>
      </c>
      <c r="E18" s="89">
        <f t="shared" si="1"/>
        <v>2.3109600679694139E-2</v>
      </c>
      <c r="F18" s="214">
        <v>161181</v>
      </c>
      <c r="G18" s="83">
        <v>12520</v>
      </c>
      <c r="H18" s="83">
        <v>12115</v>
      </c>
      <c r="I18" s="83">
        <v>11695</v>
      </c>
      <c r="J18" s="83">
        <v>11360</v>
      </c>
      <c r="K18" s="83">
        <v>11160</v>
      </c>
      <c r="L18" s="83">
        <v>598430000</v>
      </c>
      <c r="M18" s="103" t="s">
        <v>224</v>
      </c>
      <c r="N18" s="214">
        <v>160059</v>
      </c>
      <c r="O18" s="214">
        <v>161181</v>
      </c>
      <c r="P18" s="216">
        <v>159.6</v>
      </c>
      <c r="Q18" s="216">
        <v>159.80000000000001</v>
      </c>
      <c r="R18" s="216">
        <v>159.9</v>
      </c>
      <c r="S18" s="216">
        <v>160</v>
      </c>
      <c r="T18" s="216">
        <v>160.1</v>
      </c>
      <c r="U18" s="216">
        <v>160.19999999999999</v>
      </c>
      <c r="V18" s="216">
        <v>160.19999999999999</v>
      </c>
      <c r="W18" s="216">
        <v>160.30000000000001</v>
      </c>
      <c r="X18" s="216">
        <v>160.4</v>
      </c>
    </row>
    <row r="19" spans="1:24" x14ac:dyDescent="0.2">
      <c r="A19" t="s">
        <v>637</v>
      </c>
      <c r="B19" s="125" t="s">
        <v>156</v>
      </c>
      <c r="C19" s="89">
        <f t="shared" si="0"/>
        <v>-1.9387505411560977E-3</v>
      </c>
      <c r="D19" t="s">
        <v>526</v>
      </c>
      <c r="E19" s="89">
        <f t="shared" si="1"/>
        <v>1.2658227848101266E-2</v>
      </c>
      <c r="F19" s="214">
        <v>11806</v>
      </c>
      <c r="G19" s="83">
        <v>575</v>
      </c>
      <c r="H19" s="83">
        <v>570</v>
      </c>
      <c r="I19" s="83">
        <v>555</v>
      </c>
      <c r="J19" s="83">
        <v>525</v>
      </c>
      <c r="K19" s="83">
        <v>540</v>
      </c>
      <c r="L19" s="83">
        <v>11737000</v>
      </c>
      <c r="M19" s="103" t="s">
        <v>156</v>
      </c>
      <c r="N19" s="214">
        <v>11967</v>
      </c>
      <c r="O19" s="214">
        <v>11806</v>
      </c>
      <c r="P19" s="216">
        <v>11.9</v>
      </c>
      <c r="Q19" s="216">
        <v>11.8</v>
      </c>
      <c r="R19" s="216">
        <v>11.8</v>
      </c>
      <c r="S19" s="216">
        <v>11.7</v>
      </c>
      <c r="T19" s="216">
        <v>11.7</v>
      </c>
      <c r="U19" s="216">
        <v>11.6</v>
      </c>
      <c r="V19" s="216">
        <v>11.6</v>
      </c>
      <c r="W19" s="216">
        <v>11.6</v>
      </c>
      <c r="X19" s="216">
        <v>11.6</v>
      </c>
    </row>
    <row r="20" spans="1:24" x14ac:dyDescent="0.2">
      <c r="A20" t="s">
        <v>631</v>
      </c>
      <c r="B20" s="125" t="s">
        <v>225</v>
      </c>
      <c r="C20" s="89">
        <f t="shared" si="0"/>
        <v>5.4560495883766288E-3</v>
      </c>
      <c r="D20" t="s">
        <v>526</v>
      </c>
      <c r="E20" s="89">
        <f t="shared" si="1"/>
        <v>2.7067050596462361E-2</v>
      </c>
      <c r="F20" s="214">
        <v>157277</v>
      </c>
      <c r="G20" s="83">
        <v>13010</v>
      </c>
      <c r="H20" s="83">
        <v>12690</v>
      </c>
      <c r="I20" s="83">
        <v>12110</v>
      </c>
      <c r="J20" s="83">
        <v>11600</v>
      </c>
      <c r="K20" s="83">
        <v>11365</v>
      </c>
      <c r="L20" s="83">
        <v>501974000</v>
      </c>
      <c r="M20" s="103" t="s">
        <v>225</v>
      </c>
      <c r="N20" s="214">
        <v>155721</v>
      </c>
      <c r="O20" s="214">
        <v>157277</v>
      </c>
      <c r="P20" s="216">
        <v>156.30000000000001</v>
      </c>
      <c r="Q20" s="216">
        <v>157.6</v>
      </c>
      <c r="R20" s="216">
        <v>158.6</v>
      </c>
      <c r="S20" s="216">
        <v>159.80000000000001</v>
      </c>
      <c r="T20" s="216">
        <v>161.1</v>
      </c>
      <c r="U20" s="216">
        <v>162.30000000000001</v>
      </c>
      <c r="V20" s="216">
        <v>163.30000000000001</v>
      </c>
      <c r="W20" s="216">
        <v>164.2</v>
      </c>
      <c r="X20" s="216">
        <v>165</v>
      </c>
    </row>
    <row r="21" spans="1:24" x14ac:dyDescent="0.2">
      <c r="A21" t="s">
        <v>628</v>
      </c>
      <c r="B21" s="125" t="s">
        <v>144</v>
      </c>
      <c r="C21" s="89">
        <f t="shared" si="0"/>
        <v>3.631039146935613E-3</v>
      </c>
      <c r="D21" t="s">
        <v>526</v>
      </c>
      <c r="E21" s="89">
        <f t="shared" si="1"/>
        <v>2.5801603206412827E-2</v>
      </c>
      <c r="F21" s="214">
        <v>67688</v>
      </c>
      <c r="G21" s="83">
        <v>4250</v>
      </c>
      <c r="H21" s="83">
        <v>4150</v>
      </c>
      <c r="I21" s="83">
        <v>4000</v>
      </c>
      <c r="J21" s="83">
        <v>3825</v>
      </c>
      <c r="K21" s="83">
        <v>3735</v>
      </c>
      <c r="L21" s="83">
        <v>161667000</v>
      </c>
      <c r="M21" s="103" t="s">
        <v>144</v>
      </c>
      <c r="N21" s="214">
        <v>67555</v>
      </c>
      <c r="O21" s="214">
        <v>67688</v>
      </c>
      <c r="P21" s="216">
        <v>67.3</v>
      </c>
      <c r="Q21" s="216">
        <v>67.599999999999994</v>
      </c>
      <c r="R21" s="216">
        <v>68</v>
      </c>
      <c r="S21" s="216">
        <v>68.2</v>
      </c>
      <c r="T21" s="216">
        <v>68.599999999999994</v>
      </c>
      <c r="U21" s="216">
        <v>69</v>
      </c>
      <c r="V21" s="216">
        <v>69.400000000000006</v>
      </c>
      <c r="W21" s="216">
        <v>69.599999999999994</v>
      </c>
      <c r="X21" s="216">
        <v>69.900000000000006</v>
      </c>
    </row>
    <row r="22" spans="1:24" x14ac:dyDescent="0.2">
      <c r="A22" t="s">
        <v>629</v>
      </c>
      <c r="B22" s="125" t="s">
        <v>418</v>
      </c>
      <c r="C22" s="89">
        <f t="shared" si="0"/>
        <v>-5.3201393876519563E-5</v>
      </c>
      <c r="D22" t="s">
        <v>555</v>
      </c>
      <c r="E22" s="89">
        <f t="shared" si="1"/>
        <v>1.5393724097098875E-2</v>
      </c>
      <c r="F22" s="214">
        <v>16708</v>
      </c>
      <c r="G22" s="83">
        <v>1760</v>
      </c>
      <c r="H22" s="83">
        <v>1725</v>
      </c>
      <c r="I22" s="83">
        <v>1685</v>
      </c>
      <c r="J22" s="83">
        <v>1645</v>
      </c>
      <c r="K22" s="83">
        <v>1630</v>
      </c>
      <c r="L22" s="83">
        <v>-14928000</v>
      </c>
      <c r="M22" s="103" t="s">
        <v>418</v>
      </c>
      <c r="N22" s="214">
        <v>16709</v>
      </c>
      <c r="O22" s="214">
        <v>16708</v>
      </c>
      <c r="P22" s="216">
        <v>16.7</v>
      </c>
      <c r="Q22" s="216">
        <v>16.7</v>
      </c>
      <c r="R22" s="216">
        <v>16.8</v>
      </c>
      <c r="S22" s="216">
        <v>16.8</v>
      </c>
      <c r="T22" s="216">
        <v>16.7</v>
      </c>
      <c r="U22" s="216">
        <v>16.7</v>
      </c>
      <c r="V22" s="216">
        <v>16.7</v>
      </c>
      <c r="W22" s="216">
        <v>16.8</v>
      </c>
      <c r="X22" s="216">
        <v>16.7</v>
      </c>
    </row>
    <row r="23" spans="1:24" x14ac:dyDescent="0.2">
      <c r="A23" t="s">
        <v>629</v>
      </c>
      <c r="B23" s="125" t="s">
        <v>419</v>
      </c>
      <c r="C23" s="89">
        <f t="shared" si="0"/>
        <v>-4.9175774804358831E-3</v>
      </c>
      <c r="D23" t="s">
        <v>555</v>
      </c>
      <c r="E23" s="89">
        <f t="shared" si="1"/>
        <v>1.5568862275449102E-2</v>
      </c>
      <c r="F23" s="214">
        <v>6801</v>
      </c>
      <c r="G23" s="83">
        <v>865</v>
      </c>
      <c r="H23" s="83">
        <v>855</v>
      </c>
      <c r="I23" s="83">
        <v>840</v>
      </c>
      <c r="J23" s="83">
        <v>815</v>
      </c>
      <c r="K23" s="83">
        <v>800</v>
      </c>
      <c r="L23" s="83">
        <v>-6069000</v>
      </c>
      <c r="M23" s="103" t="s">
        <v>419</v>
      </c>
      <c r="N23" s="214">
        <v>6658</v>
      </c>
      <c r="O23" s="214">
        <v>6801</v>
      </c>
      <c r="P23" s="216">
        <v>6.7</v>
      </c>
      <c r="Q23" s="216">
        <v>6.7</v>
      </c>
      <c r="R23" s="216">
        <v>6.6</v>
      </c>
      <c r="S23" s="216">
        <v>6.6</v>
      </c>
      <c r="T23" s="216">
        <v>6.6</v>
      </c>
      <c r="U23" s="216">
        <v>6.6</v>
      </c>
      <c r="V23" s="216">
        <v>6.6</v>
      </c>
      <c r="W23" s="216">
        <v>6.5</v>
      </c>
      <c r="X23" s="216">
        <v>6.5</v>
      </c>
    </row>
    <row r="24" spans="1:24" x14ac:dyDescent="0.2">
      <c r="A24" t="s">
        <v>636</v>
      </c>
      <c r="B24" s="125" t="s">
        <v>277</v>
      </c>
      <c r="C24" s="89">
        <f t="shared" si="0"/>
        <v>1.1815533367607399E-3</v>
      </c>
      <c r="D24" t="s">
        <v>155</v>
      </c>
      <c r="E24" s="89">
        <f t="shared" si="1"/>
        <v>2.3800805565726842E-2</v>
      </c>
      <c r="F24" s="214">
        <v>24638</v>
      </c>
      <c r="G24" s="83">
        <v>2910</v>
      </c>
      <c r="H24" s="83">
        <v>2810</v>
      </c>
      <c r="I24" s="83">
        <v>2730</v>
      </c>
      <c r="J24" s="83">
        <v>2620</v>
      </c>
      <c r="K24" s="83">
        <v>2585</v>
      </c>
      <c r="L24" s="83">
        <v>18471000</v>
      </c>
      <c r="M24" s="103" t="s">
        <v>277</v>
      </c>
      <c r="N24" s="214">
        <v>24522</v>
      </c>
      <c r="O24" s="214">
        <v>24638</v>
      </c>
      <c r="P24" s="216">
        <v>24.8</v>
      </c>
      <c r="Q24" s="216">
        <v>24.9</v>
      </c>
      <c r="R24" s="216">
        <v>24.9</v>
      </c>
      <c r="S24" s="216">
        <v>24.9</v>
      </c>
      <c r="T24" s="216">
        <v>24.9</v>
      </c>
      <c r="U24" s="216">
        <v>24.8</v>
      </c>
      <c r="V24" s="216">
        <v>24.8</v>
      </c>
      <c r="W24" s="216">
        <v>24.9</v>
      </c>
      <c r="X24" s="216">
        <v>24.9</v>
      </c>
    </row>
    <row r="25" spans="1:24" x14ac:dyDescent="0.2">
      <c r="A25" t="s">
        <v>633</v>
      </c>
      <c r="B25" s="125" t="s">
        <v>349</v>
      </c>
      <c r="C25" s="89">
        <f t="shared" si="0"/>
        <v>-7.2989355241598209E-3</v>
      </c>
      <c r="D25" t="s">
        <v>555</v>
      </c>
      <c r="E25" s="89">
        <f t="shared" si="1"/>
        <v>2.1558872305140961E-2</v>
      </c>
      <c r="F25" s="214">
        <v>48485</v>
      </c>
      <c r="G25" s="83">
        <v>4470</v>
      </c>
      <c r="H25" s="83">
        <v>4385</v>
      </c>
      <c r="I25" s="83">
        <v>4180</v>
      </c>
      <c r="J25" s="83">
        <v>4055</v>
      </c>
      <c r="K25" s="83">
        <v>4015</v>
      </c>
      <c r="L25" s="83">
        <v>76053000</v>
      </c>
      <c r="M25" s="103" t="s">
        <v>349</v>
      </c>
      <c r="N25" s="214">
        <v>48344</v>
      </c>
      <c r="O25" s="214">
        <v>48485</v>
      </c>
      <c r="P25" s="216">
        <v>47.5</v>
      </c>
      <c r="Q25" s="216">
        <v>47.3</v>
      </c>
      <c r="R25" s="216">
        <v>46.8</v>
      </c>
      <c r="S25" s="216">
        <v>46.4</v>
      </c>
      <c r="T25" s="216">
        <v>46</v>
      </c>
      <c r="U25" s="216">
        <v>45.8</v>
      </c>
      <c r="V25" s="216">
        <v>45.6</v>
      </c>
      <c r="W25" s="216">
        <v>45.4</v>
      </c>
      <c r="X25" s="216">
        <v>45.3</v>
      </c>
    </row>
    <row r="26" spans="1:24" x14ac:dyDescent="0.2">
      <c r="A26" t="s">
        <v>631</v>
      </c>
      <c r="B26" s="125" t="s">
        <v>226</v>
      </c>
      <c r="C26" s="89">
        <f t="shared" si="0"/>
        <v>7.4425344134887708E-3</v>
      </c>
      <c r="D26" t="s">
        <v>555</v>
      </c>
      <c r="E26" s="89">
        <f t="shared" si="1"/>
        <v>2.359781121751026E-2</v>
      </c>
      <c r="F26" s="214">
        <v>57358</v>
      </c>
      <c r="G26" s="83">
        <v>6190</v>
      </c>
      <c r="H26" s="83">
        <v>6070</v>
      </c>
      <c r="I26" s="83">
        <v>5830</v>
      </c>
      <c r="J26" s="83">
        <v>5650</v>
      </c>
      <c r="K26" s="83">
        <v>5500</v>
      </c>
      <c r="L26" s="83">
        <v>212974000</v>
      </c>
      <c r="M26" s="103" t="s">
        <v>226</v>
      </c>
      <c r="N26" s="214">
        <v>56371</v>
      </c>
      <c r="O26" s="214">
        <v>57358</v>
      </c>
      <c r="P26" s="216">
        <v>56.3</v>
      </c>
      <c r="Q26" s="216">
        <v>56.8</v>
      </c>
      <c r="R26" s="216">
        <v>57.3</v>
      </c>
      <c r="S26" s="216">
        <v>57.8</v>
      </c>
      <c r="T26" s="216">
        <v>58.5</v>
      </c>
      <c r="U26" s="216">
        <v>59.3</v>
      </c>
      <c r="V26" s="216">
        <v>59.9</v>
      </c>
      <c r="W26" s="216">
        <v>60.6</v>
      </c>
      <c r="X26" s="216">
        <v>61.2</v>
      </c>
    </row>
    <row r="27" spans="1:24" x14ac:dyDescent="0.2">
      <c r="A27" t="s">
        <v>637</v>
      </c>
      <c r="B27" s="125" t="s">
        <v>157</v>
      </c>
      <c r="C27" s="89">
        <f t="shared" si="0"/>
        <v>4.4749846238679985E-3</v>
      </c>
      <c r="D27" t="s">
        <v>155</v>
      </c>
      <c r="E27" s="89">
        <f t="shared" si="1"/>
        <v>2.2935779816513763E-2</v>
      </c>
      <c r="F27" s="214">
        <v>10478</v>
      </c>
      <c r="G27" s="83">
        <v>695</v>
      </c>
      <c r="H27" s="83">
        <v>695</v>
      </c>
      <c r="I27" s="83">
        <v>650</v>
      </c>
      <c r="J27" s="83">
        <v>610</v>
      </c>
      <c r="K27" s="83">
        <v>620</v>
      </c>
      <c r="L27" s="83">
        <v>11888000</v>
      </c>
      <c r="M27" s="103" t="s">
        <v>157</v>
      </c>
      <c r="N27" s="214">
        <v>10480</v>
      </c>
      <c r="O27" s="214">
        <v>10478</v>
      </c>
      <c r="P27" s="216">
        <v>10.5</v>
      </c>
      <c r="Q27" s="216">
        <v>10.6</v>
      </c>
      <c r="R27" s="216">
        <v>10.7</v>
      </c>
      <c r="S27" s="216">
        <v>10.7</v>
      </c>
      <c r="T27" s="216">
        <v>10.7</v>
      </c>
      <c r="U27" s="216">
        <v>10.8</v>
      </c>
      <c r="V27" s="216">
        <v>10.8</v>
      </c>
      <c r="W27" s="216">
        <v>10.8</v>
      </c>
      <c r="X27" s="216">
        <v>10.9</v>
      </c>
    </row>
    <row r="28" spans="1:24" x14ac:dyDescent="0.2">
      <c r="A28" t="s">
        <v>638</v>
      </c>
      <c r="B28" s="125" t="s">
        <v>479</v>
      </c>
      <c r="C28" s="89">
        <f t="shared" si="0"/>
        <v>4.1783702958397961E-3</v>
      </c>
      <c r="D28" t="s">
        <v>155</v>
      </c>
      <c r="E28" s="89">
        <f t="shared" si="1"/>
        <v>1.9313304721030045E-2</v>
      </c>
      <c r="F28" s="214">
        <v>15902</v>
      </c>
      <c r="G28" s="83">
        <v>1470</v>
      </c>
      <c r="H28" s="83">
        <v>1445</v>
      </c>
      <c r="I28" s="83">
        <v>1370</v>
      </c>
      <c r="J28" s="83">
        <v>1370</v>
      </c>
      <c r="K28" s="83">
        <v>1335</v>
      </c>
      <c r="L28" s="83">
        <v>-27735000</v>
      </c>
      <c r="M28" s="103" t="s">
        <v>479</v>
      </c>
      <c r="N28" s="214">
        <v>15945</v>
      </c>
      <c r="O28" s="214">
        <v>15902</v>
      </c>
      <c r="P28" s="216">
        <v>16.899999999999999</v>
      </c>
      <c r="Q28" s="216">
        <v>17</v>
      </c>
      <c r="R28" s="216">
        <v>17</v>
      </c>
      <c r="S28" s="216">
        <v>16.899999999999999</v>
      </c>
      <c r="T28" s="216">
        <v>16.7</v>
      </c>
      <c r="U28" s="216">
        <v>16.7</v>
      </c>
      <c r="V28" s="216">
        <v>16.600000000000001</v>
      </c>
      <c r="W28" s="216">
        <v>16.600000000000001</v>
      </c>
      <c r="X28" s="216">
        <v>16.5</v>
      </c>
    </row>
    <row r="29" spans="1:24" x14ac:dyDescent="0.2">
      <c r="A29" t="s">
        <v>630</v>
      </c>
      <c r="B29" s="125" t="s">
        <v>305</v>
      </c>
      <c r="C29" s="89">
        <f t="shared" si="0"/>
        <v>1.7688404785178979E-3</v>
      </c>
      <c r="D29" t="s">
        <v>555</v>
      </c>
      <c r="E29" s="89">
        <f t="shared" si="1"/>
        <v>2.3010546500479387E-2</v>
      </c>
      <c r="F29" s="214">
        <v>9548</v>
      </c>
      <c r="G29" s="83">
        <v>1115</v>
      </c>
      <c r="H29" s="83">
        <v>1060</v>
      </c>
      <c r="I29" s="83">
        <v>1030</v>
      </c>
      <c r="J29" s="83">
        <v>1015</v>
      </c>
      <c r="K29" s="83">
        <v>995</v>
      </c>
      <c r="L29" s="83">
        <v>17542000</v>
      </c>
      <c r="M29" s="103" t="s">
        <v>305</v>
      </c>
      <c r="N29" s="214">
        <v>9208</v>
      </c>
      <c r="O29" s="214">
        <v>9548</v>
      </c>
      <c r="P29" s="216">
        <v>9.1999999999999993</v>
      </c>
      <c r="Q29" s="216">
        <v>9.3000000000000007</v>
      </c>
      <c r="R29" s="216">
        <v>9.4</v>
      </c>
      <c r="S29" s="216">
        <v>9.5</v>
      </c>
      <c r="T29" s="216">
        <v>9.5</v>
      </c>
      <c r="U29" s="216">
        <v>9.6</v>
      </c>
      <c r="V29" s="216">
        <v>9.6</v>
      </c>
      <c r="W29" s="216">
        <v>9.6999999999999993</v>
      </c>
      <c r="X29" s="216">
        <v>9.6999999999999993</v>
      </c>
    </row>
    <row r="30" spans="1:24" x14ac:dyDescent="0.2">
      <c r="A30" t="s">
        <v>638</v>
      </c>
      <c r="B30" s="125" t="s">
        <v>480</v>
      </c>
      <c r="C30" s="89">
        <f t="shared" si="0"/>
        <v>4.4622936189201248E-4</v>
      </c>
      <c r="D30" t="s">
        <v>155</v>
      </c>
      <c r="E30" s="89">
        <f t="shared" si="1"/>
        <v>1.5719467956469165E-2</v>
      </c>
      <c r="F30" s="214">
        <v>13446</v>
      </c>
      <c r="G30" s="83">
        <v>870</v>
      </c>
      <c r="H30" s="83">
        <v>840</v>
      </c>
      <c r="I30" s="83">
        <v>820</v>
      </c>
      <c r="J30" s="83">
        <v>800</v>
      </c>
      <c r="K30" s="83">
        <v>805</v>
      </c>
      <c r="L30" s="83">
        <v>-13233000</v>
      </c>
      <c r="M30" s="103" t="s">
        <v>480</v>
      </c>
      <c r="N30" s="214">
        <v>13407</v>
      </c>
      <c r="O30" s="214">
        <v>13446</v>
      </c>
      <c r="P30" s="216">
        <v>13.6</v>
      </c>
      <c r="Q30" s="216">
        <v>13.6</v>
      </c>
      <c r="R30" s="216">
        <v>13.6</v>
      </c>
      <c r="S30" s="216">
        <v>13.5</v>
      </c>
      <c r="T30" s="216">
        <v>13.5</v>
      </c>
      <c r="U30" s="216">
        <v>13.5</v>
      </c>
      <c r="V30" s="216">
        <v>13.5</v>
      </c>
      <c r="W30" s="216">
        <v>13.5</v>
      </c>
      <c r="X30" s="216">
        <v>13.5</v>
      </c>
    </row>
    <row r="31" spans="1:24" x14ac:dyDescent="0.2">
      <c r="A31" t="s">
        <v>637</v>
      </c>
      <c r="B31" s="125" t="s">
        <v>158</v>
      </c>
      <c r="C31" s="89">
        <f t="shared" si="0"/>
        <v>1.0032178686352452E-2</v>
      </c>
      <c r="D31" t="s">
        <v>526</v>
      </c>
      <c r="E31" s="89">
        <f t="shared" si="1"/>
        <v>1.0263929618768328E-2</v>
      </c>
      <c r="F31" s="214">
        <v>8805</v>
      </c>
      <c r="G31" s="83">
        <v>700</v>
      </c>
      <c r="H31" s="83">
        <v>700</v>
      </c>
      <c r="I31" s="83">
        <v>675</v>
      </c>
      <c r="J31" s="83">
        <v>670</v>
      </c>
      <c r="K31" s="83">
        <v>665</v>
      </c>
      <c r="L31" s="83">
        <v>12669000</v>
      </c>
      <c r="M31" s="103" t="s">
        <v>158</v>
      </c>
      <c r="N31" s="214">
        <v>8920</v>
      </c>
      <c r="O31" s="214">
        <v>8805</v>
      </c>
      <c r="P31" s="216">
        <v>9.1</v>
      </c>
      <c r="Q31" s="216">
        <v>9.1999999999999993</v>
      </c>
      <c r="R31" s="216">
        <v>9.1999999999999993</v>
      </c>
      <c r="S31" s="216">
        <v>9.3000000000000007</v>
      </c>
      <c r="T31" s="216">
        <v>9.3000000000000007</v>
      </c>
      <c r="U31" s="216">
        <v>9.4</v>
      </c>
      <c r="V31" s="216">
        <v>9.4</v>
      </c>
      <c r="W31" s="216">
        <v>9.5</v>
      </c>
      <c r="X31" s="216">
        <v>9.6</v>
      </c>
    </row>
    <row r="32" spans="1:24" x14ac:dyDescent="0.2">
      <c r="A32" t="s">
        <v>631</v>
      </c>
      <c r="B32" s="125" t="s">
        <v>639</v>
      </c>
      <c r="C32" s="89">
        <f t="shared" si="0"/>
        <v>-4.7324866019467145E-4</v>
      </c>
      <c r="D32" t="s">
        <v>155</v>
      </c>
      <c r="E32" s="89">
        <f t="shared" si="1"/>
        <v>2.547513141932875E-2</v>
      </c>
      <c r="F32" s="214">
        <v>34748</v>
      </c>
      <c r="G32" s="83">
        <v>2655</v>
      </c>
      <c r="H32" s="83">
        <v>2515</v>
      </c>
      <c r="I32" s="83">
        <v>2475</v>
      </c>
      <c r="J32" s="83">
        <v>2380</v>
      </c>
      <c r="K32" s="83">
        <v>2340</v>
      </c>
      <c r="L32" s="83">
        <v>4047000</v>
      </c>
      <c r="M32" s="103" t="s">
        <v>639</v>
      </c>
      <c r="N32" s="214">
        <v>34803</v>
      </c>
      <c r="O32" s="214">
        <v>34748</v>
      </c>
      <c r="P32" s="216">
        <v>34.5</v>
      </c>
      <c r="Q32" s="216">
        <v>34.5</v>
      </c>
      <c r="R32" s="216">
        <v>34.4</v>
      </c>
      <c r="S32" s="216">
        <v>34.4</v>
      </c>
      <c r="T32" s="216">
        <v>34.4</v>
      </c>
      <c r="U32" s="216">
        <v>34.4</v>
      </c>
      <c r="V32" s="216">
        <v>34.4</v>
      </c>
      <c r="W32" s="216">
        <v>34.5</v>
      </c>
      <c r="X32" s="216">
        <v>34.6</v>
      </c>
    </row>
    <row r="33" spans="1:24" x14ac:dyDescent="0.2">
      <c r="A33" t="s">
        <v>629</v>
      </c>
      <c r="B33" s="125" t="s">
        <v>420</v>
      </c>
      <c r="C33" s="89">
        <f t="shared" si="0"/>
        <v>1.8484288354898336E-3</v>
      </c>
      <c r="D33" t="s">
        <v>555</v>
      </c>
      <c r="E33" s="89">
        <f t="shared" si="1"/>
        <v>1.8974358974358976E-2</v>
      </c>
      <c r="F33" s="214">
        <v>18394</v>
      </c>
      <c r="G33" s="83">
        <v>2055</v>
      </c>
      <c r="H33" s="83">
        <v>2000</v>
      </c>
      <c r="I33" s="83">
        <v>1925</v>
      </c>
      <c r="J33" s="83">
        <v>1900</v>
      </c>
      <c r="K33" s="83">
        <v>1870</v>
      </c>
      <c r="L33" s="83">
        <v>29539000</v>
      </c>
      <c r="M33" s="103" t="s">
        <v>420</v>
      </c>
      <c r="N33" s="214">
        <v>18352</v>
      </c>
      <c r="O33" s="214">
        <v>18394</v>
      </c>
      <c r="P33" s="216">
        <v>18.399999999999999</v>
      </c>
      <c r="Q33" s="216">
        <v>18.5</v>
      </c>
      <c r="R33" s="216">
        <v>18.5</v>
      </c>
      <c r="S33" s="216">
        <v>18.5</v>
      </c>
      <c r="T33" s="216">
        <v>18.600000000000001</v>
      </c>
      <c r="U33" s="216">
        <v>18.600000000000001</v>
      </c>
      <c r="V33" s="216">
        <v>18.600000000000001</v>
      </c>
      <c r="W33" s="216">
        <v>18.600000000000001</v>
      </c>
      <c r="X33" s="216">
        <v>18.7</v>
      </c>
    </row>
    <row r="34" spans="1:24" x14ac:dyDescent="0.2">
      <c r="A34" t="s">
        <v>638</v>
      </c>
      <c r="B34" s="125" t="s">
        <v>519</v>
      </c>
      <c r="C34" s="89">
        <f t="shared" si="0"/>
        <v>-6.8649885583524023E-3</v>
      </c>
      <c r="D34" t="s">
        <v>155</v>
      </c>
      <c r="E34" s="89">
        <f t="shared" si="1"/>
        <v>1.8652849740932641E-2</v>
      </c>
      <c r="F34" s="214">
        <v>13110</v>
      </c>
      <c r="G34" s="83">
        <v>1005</v>
      </c>
      <c r="H34" s="83">
        <v>995</v>
      </c>
      <c r="I34" s="83">
        <v>970</v>
      </c>
      <c r="J34" s="83">
        <v>940</v>
      </c>
      <c r="K34" s="83">
        <v>915</v>
      </c>
      <c r="L34" s="83">
        <v>-2793000</v>
      </c>
      <c r="M34" s="103" t="s">
        <v>519</v>
      </c>
      <c r="N34" s="214">
        <v>13095</v>
      </c>
      <c r="O34" s="214">
        <v>13110</v>
      </c>
      <c r="P34" s="216">
        <v>12.9</v>
      </c>
      <c r="Q34" s="216">
        <v>12.9</v>
      </c>
      <c r="R34" s="216">
        <v>12.8</v>
      </c>
      <c r="S34" s="216">
        <v>12.7</v>
      </c>
      <c r="T34" s="216">
        <v>12.7</v>
      </c>
      <c r="U34" s="216">
        <v>12.6</v>
      </c>
      <c r="V34" s="216">
        <v>12.5</v>
      </c>
      <c r="W34" s="216">
        <v>12.4</v>
      </c>
      <c r="X34" s="216">
        <v>12.3</v>
      </c>
    </row>
    <row r="35" spans="1:24" x14ac:dyDescent="0.2">
      <c r="A35" t="s">
        <v>630</v>
      </c>
      <c r="B35" s="125" t="s">
        <v>520</v>
      </c>
      <c r="C35" s="89">
        <f t="shared" si="0"/>
        <v>-4.9764536922614474E-3</v>
      </c>
      <c r="D35" t="s">
        <v>555</v>
      </c>
      <c r="E35" s="89">
        <f t="shared" si="1"/>
        <v>1.9206145966709345E-2</v>
      </c>
      <c r="F35" s="214">
        <v>29941</v>
      </c>
      <c r="G35" s="83">
        <v>3295</v>
      </c>
      <c r="H35" s="83">
        <v>3215</v>
      </c>
      <c r="I35" s="83">
        <v>3085</v>
      </c>
      <c r="J35" s="83">
        <v>3030</v>
      </c>
      <c r="K35" s="83">
        <v>2995</v>
      </c>
      <c r="L35" s="83">
        <v>46348000</v>
      </c>
      <c r="M35" s="103" t="s">
        <v>520</v>
      </c>
      <c r="N35" s="214">
        <v>29839</v>
      </c>
      <c r="O35" s="214">
        <v>29941</v>
      </c>
      <c r="P35" s="216">
        <v>29.8</v>
      </c>
      <c r="Q35" s="216">
        <v>29.7</v>
      </c>
      <c r="R35" s="216">
        <v>29.4</v>
      </c>
      <c r="S35" s="216">
        <v>29.2</v>
      </c>
      <c r="T35" s="216">
        <v>29</v>
      </c>
      <c r="U35" s="216">
        <v>28.9</v>
      </c>
      <c r="V35" s="216">
        <v>28.8</v>
      </c>
      <c r="W35" s="216">
        <v>28.7</v>
      </c>
      <c r="X35" s="216">
        <v>28.6</v>
      </c>
    </row>
    <row r="36" spans="1:24" x14ac:dyDescent="0.2">
      <c r="A36" t="s">
        <v>629</v>
      </c>
      <c r="B36" s="125" t="s">
        <v>421</v>
      </c>
      <c r="C36" s="89">
        <f t="shared" si="0"/>
        <v>1.1206424346585054E-3</v>
      </c>
      <c r="D36" t="s">
        <v>526</v>
      </c>
      <c r="E36" s="89">
        <f t="shared" si="1"/>
        <v>1.2745733419745085E-2</v>
      </c>
      <c r="F36" s="214">
        <v>66331</v>
      </c>
      <c r="G36" s="83">
        <v>4790</v>
      </c>
      <c r="H36" s="83">
        <v>4700</v>
      </c>
      <c r="I36" s="83">
        <v>4645</v>
      </c>
      <c r="J36" s="83">
        <v>4515</v>
      </c>
      <c r="K36" s="83">
        <v>4495</v>
      </c>
      <c r="L36" s="83">
        <v>218668000</v>
      </c>
      <c r="M36" s="103" t="s">
        <v>421</v>
      </c>
      <c r="N36" s="214">
        <v>66211</v>
      </c>
      <c r="O36" s="214">
        <v>66331</v>
      </c>
      <c r="P36" s="216">
        <v>66.2</v>
      </c>
      <c r="Q36" s="216">
        <v>66.5</v>
      </c>
      <c r="R36" s="216">
        <v>66.599999999999994</v>
      </c>
      <c r="S36" s="216">
        <v>66.8</v>
      </c>
      <c r="T36" s="216">
        <v>66.900000000000006</v>
      </c>
      <c r="U36" s="216">
        <v>66.900000000000006</v>
      </c>
      <c r="V36" s="216">
        <v>67</v>
      </c>
      <c r="W36" s="216">
        <v>67</v>
      </c>
      <c r="X36" s="216">
        <v>67</v>
      </c>
    </row>
    <row r="37" spans="1:24" x14ac:dyDescent="0.2">
      <c r="A37" t="s">
        <v>631</v>
      </c>
      <c r="B37" s="125" t="s">
        <v>227</v>
      </c>
      <c r="C37" s="89">
        <f t="shared" si="0"/>
        <v>-5.1444300632520167E-3</v>
      </c>
      <c r="D37" t="s">
        <v>155</v>
      </c>
      <c r="E37" s="89">
        <f t="shared" si="1"/>
        <v>1.6783974011911208E-2</v>
      </c>
      <c r="F37" s="214">
        <v>44039</v>
      </c>
      <c r="G37" s="83">
        <v>3855</v>
      </c>
      <c r="H37" s="83">
        <v>3765</v>
      </c>
      <c r="I37" s="83">
        <v>3690</v>
      </c>
      <c r="J37" s="83">
        <v>3615</v>
      </c>
      <c r="K37" s="83">
        <v>3545</v>
      </c>
      <c r="L37" s="83">
        <v>29131000</v>
      </c>
      <c r="M37" s="103" t="s">
        <v>227</v>
      </c>
      <c r="N37" s="214">
        <v>44231</v>
      </c>
      <c r="O37" s="214">
        <v>44039</v>
      </c>
      <c r="P37" s="216">
        <v>44.2</v>
      </c>
      <c r="Q37" s="216">
        <v>44</v>
      </c>
      <c r="R37" s="216">
        <v>43.7</v>
      </c>
      <c r="S37" s="216">
        <v>43.4</v>
      </c>
      <c r="T37" s="216">
        <v>43.2</v>
      </c>
      <c r="U37" s="216">
        <v>42.9</v>
      </c>
      <c r="V37" s="216">
        <v>42.6</v>
      </c>
      <c r="W37" s="216">
        <v>42.3</v>
      </c>
      <c r="X37" s="216">
        <v>42</v>
      </c>
    </row>
    <row r="38" spans="1:24" x14ac:dyDescent="0.2">
      <c r="A38" t="s">
        <v>629</v>
      </c>
      <c r="B38" s="125" t="s">
        <v>422</v>
      </c>
      <c r="C38" s="89">
        <f t="shared" si="0"/>
        <v>3.8113525937563644E-3</v>
      </c>
      <c r="D38" t="s">
        <v>555</v>
      </c>
      <c r="E38" s="89">
        <f t="shared" si="1"/>
        <v>2.1178962230850688E-2</v>
      </c>
      <c r="F38" s="214">
        <v>30552</v>
      </c>
      <c r="G38" s="83">
        <v>2990</v>
      </c>
      <c r="H38" s="83">
        <v>2910</v>
      </c>
      <c r="I38" s="83">
        <v>2820</v>
      </c>
      <c r="J38" s="83">
        <v>2755</v>
      </c>
      <c r="K38" s="83">
        <v>2690</v>
      </c>
      <c r="L38" s="83">
        <v>41075000</v>
      </c>
      <c r="M38" s="103" t="s">
        <v>422</v>
      </c>
      <c r="N38" s="214">
        <v>30256</v>
      </c>
      <c r="O38" s="214">
        <v>30552</v>
      </c>
      <c r="P38" s="216">
        <v>30.6</v>
      </c>
      <c r="Q38" s="216">
        <v>30.9</v>
      </c>
      <c r="R38" s="216">
        <v>31.1</v>
      </c>
      <c r="S38" s="216">
        <v>31.2</v>
      </c>
      <c r="T38" s="216">
        <v>31.3</v>
      </c>
      <c r="U38" s="216">
        <v>31.4</v>
      </c>
      <c r="V38" s="216">
        <v>31.5</v>
      </c>
      <c r="W38" s="216">
        <v>31.6</v>
      </c>
      <c r="X38" s="216">
        <v>31.6</v>
      </c>
    </row>
    <row r="39" spans="1:24" x14ac:dyDescent="0.2">
      <c r="A39" t="s">
        <v>629</v>
      </c>
      <c r="B39" s="125" t="s">
        <v>423</v>
      </c>
      <c r="C39" s="89">
        <f t="shared" si="0"/>
        <v>7.1803681351385968E-3</v>
      </c>
      <c r="D39" t="s">
        <v>555</v>
      </c>
      <c r="E39" s="89">
        <f t="shared" si="1"/>
        <v>2.3444160272804774E-2</v>
      </c>
      <c r="F39" s="214">
        <v>29494</v>
      </c>
      <c r="G39" s="83">
        <v>2500</v>
      </c>
      <c r="H39" s="83">
        <v>2450</v>
      </c>
      <c r="I39" s="83">
        <v>2325</v>
      </c>
      <c r="J39" s="83">
        <v>2230</v>
      </c>
      <c r="K39" s="83">
        <v>2225</v>
      </c>
      <c r="L39" s="83">
        <v>-17058000</v>
      </c>
      <c r="M39" s="103" t="s">
        <v>423</v>
      </c>
      <c r="N39" s="214">
        <v>29175</v>
      </c>
      <c r="O39" s="214">
        <v>29494</v>
      </c>
      <c r="P39" s="216">
        <v>29.4</v>
      </c>
      <c r="Q39" s="216">
        <v>29.7</v>
      </c>
      <c r="R39" s="216">
        <v>29.9</v>
      </c>
      <c r="S39" s="216">
        <v>30.2</v>
      </c>
      <c r="T39" s="216">
        <v>30.5</v>
      </c>
      <c r="U39" s="216">
        <v>30.7</v>
      </c>
      <c r="V39" s="216">
        <v>30.9</v>
      </c>
      <c r="W39" s="216">
        <v>31.1</v>
      </c>
      <c r="X39" s="216">
        <v>31.4</v>
      </c>
    </row>
    <row r="40" spans="1:24" x14ac:dyDescent="0.2">
      <c r="A40" t="s">
        <v>631</v>
      </c>
      <c r="B40" s="125" t="s">
        <v>228</v>
      </c>
      <c r="C40" s="89">
        <f t="shared" si="0"/>
        <v>-1.7268925838361132E-3</v>
      </c>
      <c r="D40" t="s">
        <v>555</v>
      </c>
      <c r="E40" s="89">
        <f t="shared" si="1"/>
        <v>2.3183925811437404E-2</v>
      </c>
      <c r="F40" s="214">
        <v>25801</v>
      </c>
      <c r="G40" s="83">
        <v>2060</v>
      </c>
      <c r="H40" s="83">
        <v>2010</v>
      </c>
      <c r="I40" s="83">
        <v>1945</v>
      </c>
      <c r="J40" s="83">
        <v>1855</v>
      </c>
      <c r="K40" s="83">
        <v>1835</v>
      </c>
      <c r="L40" s="83">
        <v>80752000</v>
      </c>
      <c r="M40" s="103" t="s">
        <v>228</v>
      </c>
      <c r="N40" s="214">
        <v>25426</v>
      </c>
      <c r="O40" s="214">
        <v>25801</v>
      </c>
      <c r="P40" s="216">
        <v>25.4</v>
      </c>
      <c r="Q40" s="216">
        <v>25.3</v>
      </c>
      <c r="R40" s="216">
        <v>25.2</v>
      </c>
      <c r="S40" s="216">
        <v>25.2</v>
      </c>
      <c r="T40" s="216">
        <v>25.2</v>
      </c>
      <c r="U40" s="216">
        <v>25.3</v>
      </c>
      <c r="V40" s="216">
        <v>25.3</v>
      </c>
      <c r="W40" s="216">
        <v>25.4</v>
      </c>
      <c r="X40" s="216">
        <v>25.4</v>
      </c>
    </row>
    <row r="41" spans="1:24" x14ac:dyDescent="0.2">
      <c r="A41" t="s">
        <v>630</v>
      </c>
      <c r="B41" s="125" t="s">
        <v>306</v>
      </c>
      <c r="C41" s="89">
        <f t="shared" si="0"/>
        <v>2.2013446050831048E-3</v>
      </c>
      <c r="D41" t="s">
        <v>155</v>
      </c>
      <c r="E41" s="89">
        <f t="shared" si="1"/>
        <v>1.3290956370991043E-2</v>
      </c>
      <c r="F41" s="214">
        <v>41086</v>
      </c>
      <c r="G41" s="83">
        <v>3575</v>
      </c>
      <c r="H41" s="83">
        <v>3545</v>
      </c>
      <c r="I41" s="83">
        <v>3475</v>
      </c>
      <c r="J41" s="83">
        <v>3365</v>
      </c>
      <c r="K41" s="83">
        <v>3345</v>
      </c>
      <c r="L41" s="83">
        <v>66315000</v>
      </c>
      <c r="M41" s="103" t="s">
        <v>306</v>
      </c>
      <c r="N41" s="214">
        <v>40696</v>
      </c>
      <c r="O41" s="214">
        <v>41086</v>
      </c>
      <c r="P41" s="216">
        <v>41</v>
      </c>
      <c r="Q41" s="216">
        <v>41.2</v>
      </c>
      <c r="R41" s="216">
        <v>41.4</v>
      </c>
      <c r="S41" s="216">
        <v>41.4</v>
      </c>
      <c r="T41" s="216">
        <v>41.5</v>
      </c>
      <c r="U41" s="216">
        <v>41.5</v>
      </c>
      <c r="V41" s="216">
        <v>41.6</v>
      </c>
      <c r="W41" s="216">
        <v>41.7</v>
      </c>
      <c r="X41" s="216">
        <v>41.9</v>
      </c>
    </row>
    <row r="42" spans="1:24" x14ac:dyDescent="0.2">
      <c r="A42" t="s">
        <v>633</v>
      </c>
      <c r="B42" s="125" t="s">
        <v>350</v>
      </c>
      <c r="C42" s="89">
        <f t="shared" si="0"/>
        <v>-1.1719212255165807E-3</v>
      </c>
      <c r="D42" t="s">
        <v>555</v>
      </c>
      <c r="E42" s="89">
        <f t="shared" si="1"/>
        <v>2.2000830220008302E-2</v>
      </c>
      <c r="F42" s="214">
        <v>29107</v>
      </c>
      <c r="G42" s="83">
        <v>2535</v>
      </c>
      <c r="H42" s="83">
        <v>2485</v>
      </c>
      <c r="I42" s="83">
        <v>2400</v>
      </c>
      <c r="J42" s="83">
        <v>2355</v>
      </c>
      <c r="K42" s="83">
        <v>2270</v>
      </c>
      <c r="L42" s="83">
        <v>11201000</v>
      </c>
      <c r="M42" s="103" t="s">
        <v>350</v>
      </c>
      <c r="N42" s="214">
        <v>29122</v>
      </c>
      <c r="O42" s="214">
        <v>29107</v>
      </c>
      <c r="P42" s="216">
        <v>28.7</v>
      </c>
      <c r="Q42" s="216">
        <v>28.8</v>
      </c>
      <c r="R42" s="216">
        <v>28.9</v>
      </c>
      <c r="S42" s="216">
        <v>29.1</v>
      </c>
      <c r="T42" s="216">
        <v>29.2</v>
      </c>
      <c r="U42" s="216">
        <v>29.2</v>
      </c>
      <c r="V42" s="216">
        <v>29.1</v>
      </c>
      <c r="W42" s="216">
        <v>28.9</v>
      </c>
      <c r="X42" s="216">
        <v>28.8</v>
      </c>
    </row>
    <row r="43" spans="1:24" x14ac:dyDescent="0.2">
      <c r="A43" t="s">
        <v>629</v>
      </c>
      <c r="B43" s="125" t="s">
        <v>424</v>
      </c>
      <c r="C43" s="89">
        <f t="shared" si="0"/>
        <v>-1.3513140840020958E-3</v>
      </c>
      <c r="D43" t="s">
        <v>555</v>
      </c>
      <c r="E43" s="89">
        <f t="shared" si="1"/>
        <v>1.9587628865979381E-2</v>
      </c>
      <c r="F43" s="214">
        <v>20145</v>
      </c>
      <c r="G43" s="83">
        <v>2040</v>
      </c>
      <c r="H43" s="83">
        <v>1985</v>
      </c>
      <c r="I43" s="83">
        <v>1930</v>
      </c>
      <c r="J43" s="83">
        <v>1895</v>
      </c>
      <c r="K43" s="83">
        <v>1850</v>
      </c>
      <c r="L43" s="83">
        <v>27490000</v>
      </c>
      <c r="M43" s="103" t="s">
        <v>424</v>
      </c>
      <c r="N43" s="214">
        <v>20061</v>
      </c>
      <c r="O43" s="214">
        <v>20145</v>
      </c>
      <c r="P43" s="216">
        <v>20</v>
      </c>
      <c r="Q43" s="216">
        <v>20</v>
      </c>
      <c r="R43" s="216">
        <v>20</v>
      </c>
      <c r="S43" s="216">
        <v>20</v>
      </c>
      <c r="T43" s="216">
        <v>20</v>
      </c>
      <c r="U43" s="216">
        <v>20</v>
      </c>
      <c r="V43" s="216">
        <v>19.899999999999999</v>
      </c>
      <c r="W43" s="216">
        <v>19.899999999999999</v>
      </c>
      <c r="X43" s="216">
        <v>19.899999999999999</v>
      </c>
    </row>
    <row r="44" spans="1:24" x14ac:dyDescent="0.2">
      <c r="A44" t="s">
        <v>630</v>
      </c>
      <c r="B44" s="125" t="s">
        <v>307</v>
      </c>
      <c r="C44" s="89">
        <f t="shared" si="0"/>
        <v>7.2235599185034262E-3</v>
      </c>
      <c r="D44" t="s">
        <v>555</v>
      </c>
      <c r="E44" s="89">
        <f t="shared" si="1"/>
        <v>4.1773231031543054E-2</v>
      </c>
      <c r="F44" s="214">
        <v>10798</v>
      </c>
      <c r="G44" s="83">
        <v>1320</v>
      </c>
      <c r="H44" s="83">
        <v>1240</v>
      </c>
      <c r="I44" s="83">
        <v>1140</v>
      </c>
      <c r="J44" s="83">
        <v>1090</v>
      </c>
      <c r="K44" s="83">
        <v>1075</v>
      </c>
      <c r="L44" s="83">
        <v>30857000</v>
      </c>
      <c r="M44" s="103" t="s">
        <v>307</v>
      </c>
      <c r="N44" s="214">
        <v>10194</v>
      </c>
      <c r="O44" s="214">
        <v>10798</v>
      </c>
      <c r="P44" s="216">
        <v>10.1</v>
      </c>
      <c r="Q44" s="216">
        <v>10.4</v>
      </c>
      <c r="R44" s="216">
        <v>10.6</v>
      </c>
      <c r="S44" s="216">
        <v>10.8</v>
      </c>
      <c r="T44" s="216">
        <v>11</v>
      </c>
      <c r="U44" s="216">
        <v>11.1</v>
      </c>
      <c r="V44" s="216">
        <v>11.2</v>
      </c>
      <c r="W44" s="216">
        <v>11.3</v>
      </c>
      <c r="X44" s="216">
        <v>11.5</v>
      </c>
    </row>
    <row r="45" spans="1:24" x14ac:dyDescent="0.2">
      <c r="A45" t="s">
        <v>630</v>
      </c>
      <c r="B45" s="125" t="s">
        <v>308</v>
      </c>
      <c r="C45" s="89">
        <f t="shared" si="0"/>
        <v>-6.2396146092219872E-3</v>
      </c>
      <c r="D45" t="s">
        <v>555</v>
      </c>
      <c r="E45" s="89">
        <f t="shared" si="1"/>
        <v>2.7563842723956223E-2</v>
      </c>
      <c r="F45" s="214">
        <v>23203</v>
      </c>
      <c r="G45" s="83">
        <v>2630</v>
      </c>
      <c r="H45" s="83">
        <v>2565</v>
      </c>
      <c r="I45" s="83">
        <v>2480</v>
      </c>
      <c r="J45" s="83">
        <v>2370</v>
      </c>
      <c r="K45" s="83">
        <v>2290</v>
      </c>
      <c r="L45" s="83">
        <v>23009000</v>
      </c>
      <c r="M45" s="103" t="s">
        <v>308</v>
      </c>
      <c r="N45" s="214">
        <v>22826</v>
      </c>
      <c r="O45" s="214">
        <v>23203</v>
      </c>
      <c r="P45" s="216">
        <v>22.3</v>
      </c>
      <c r="Q45" s="216">
        <v>22.3</v>
      </c>
      <c r="R45" s="216">
        <v>22.3</v>
      </c>
      <c r="S45" s="216">
        <v>22.2</v>
      </c>
      <c r="T45" s="216">
        <v>22</v>
      </c>
      <c r="U45" s="216">
        <v>22</v>
      </c>
      <c r="V45" s="216">
        <v>21.9</v>
      </c>
      <c r="W45" s="216">
        <v>21.9</v>
      </c>
      <c r="X45" s="216">
        <v>21.9</v>
      </c>
    </row>
    <row r="46" spans="1:24" x14ac:dyDescent="0.2">
      <c r="A46" t="s">
        <v>633</v>
      </c>
      <c r="B46" s="125" t="s">
        <v>351</v>
      </c>
      <c r="C46" s="89">
        <f t="shared" si="0"/>
        <v>-2.8073895203879302E-3</v>
      </c>
      <c r="D46" t="s">
        <v>555</v>
      </c>
      <c r="E46" s="89">
        <f t="shared" si="1"/>
        <v>2.9504439988541964E-2</v>
      </c>
      <c r="F46" s="214">
        <v>33958</v>
      </c>
      <c r="G46" s="83">
        <v>3745</v>
      </c>
      <c r="H46" s="83">
        <v>3670</v>
      </c>
      <c r="I46" s="83">
        <v>3480</v>
      </c>
      <c r="J46" s="83">
        <v>3330</v>
      </c>
      <c r="K46" s="83">
        <v>3230</v>
      </c>
      <c r="L46" s="83">
        <v>118912000</v>
      </c>
      <c r="M46" s="103" t="s">
        <v>351</v>
      </c>
      <c r="N46" s="214">
        <v>33731</v>
      </c>
      <c r="O46" s="214">
        <v>33958</v>
      </c>
      <c r="P46" s="216">
        <v>33.299999999999997</v>
      </c>
      <c r="Q46" s="216">
        <v>33.4</v>
      </c>
      <c r="R46" s="216">
        <v>33.4</v>
      </c>
      <c r="S46" s="216">
        <v>33.4</v>
      </c>
      <c r="T46" s="216">
        <v>33.4</v>
      </c>
      <c r="U46" s="216">
        <v>33.299999999999997</v>
      </c>
      <c r="V46" s="216">
        <v>33.299999999999997</v>
      </c>
      <c r="W46" s="216">
        <v>33.200000000000003</v>
      </c>
      <c r="X46" s="216">
        <v>33.1</v>
      </c>
    </row>
    <row r="47" spans="1:24" x14ac:dyDescent="0.2">
      <c r="A47" t="s">
        <v>629</v>
      </c>
      <c r="B47" s="125" t="s">
        <v>425</v>
      </c>
      <c r="C47" s="89">
        <f t="shared" si="0"/>
        <v>2.0840606387592963E-3</v>
      </c>
      <c r="D47" t="s">
        <v>555</v>
      </c>
      <c r="E47" s="89">
        <f t="shared" si="1"/>
        <v>1.9193857965451054E-2</v>
      </c>
      <c r="F47" s="214">
        <v>10503</v>
      </c>
      <c r="G47" s="83">
        <v>1115</v>
      </c>
      <c r="H47" s="83">
        <v>1055</v>
      </c>
      <c r="I47" s="83">
        <v>1010</v>
      </c>
      <c r="J47" s="83">
        <v>1015</v>
      </c>
      <c r="K47" s="83">
        <v>1015</v>
      </c>
      <c r="L47" s="83">
        <v>29230000</v>
      </c>
      <c r="M47" s="103" t="s">
        <v>425</v>
      </c>
      <c r="N47" s="214">
        <v>10413</v>
      </c>
      <c r="O47" s="214">
        <v>10503</v>
      </c>
      <c r="P47" s="216">
        <v>10.4</v>
      </c>
      <c r="Q47" s="216">
        <v>10.4</v>
      </c>
      <c r="R47" s="216">
        <v>10.5</v>
      </c>
      <c r="S47" s="216">
        <v>10.5</v>
      </c>
      <c r="T47" s="216">
        <v>10.5</v>
      </c>
      <c r="U47" s="216">
        <v>10.5</v>
      </c>
      <c r="V47" s="216">
        <v>10.6</v>
      </c>
      <c r="W47" s="216">
        <v>10.6</v>
      </c>
      <c r="X47" s="216">
        <v>10.7</v>
      </c>
    </row>
    <row r="48" spans="1:24" x14ac:dyDescent="0.2">
      <c r="A48" t="s">
        <v>628</v>
      </c>
      <c r="B48" s="125" t="s">
        <v>145</v>
      </c>
      <c r="C48" s="89">
        <f t="shared" si="0"/>
        <v>-3.3085738074892087E-3</v>
      </c>
      <c r="D48" t="s">
        <v>155</v>
      </c>
      <c r="E48" s="89">
        <f t="shared" si="1"/>
        <v>2.1174205967276226E-2</v>
      </c>
      <c r="F48" s="214">
        <v>25355</v>
      </c>
      <c r="G48" s="83">
        <v>2210</v>
      </c>
      <c r="H48" s="83">
        <v>2145</v>
      </c>
      <c r="I48" s="83">
        <v>2040</v>
      </c>
      <c r="J48" s="83">
        <v>2005</v>
      </c>
      <c r="K48" s="83">
        <v>1990</v>
      </c>
      <c r="L48" s="83">
        <v>34578000</v>
      </c>
      <c r="M48" s="103" t="s">
        <v>145</v>
      </c>
      <c r="N48" s="214">
        <v>25355</v>
      </c>
      <c r="O48" s="214">
        <v>25355</v>
      </c>
      <c r="P48" s="216">
        <v>25.5</v>
      </c>
      <c r="Q48" s="216">
        <v>25.3</v>
      </c>
      <c r="R48" s="216">
        <v>25.1</v>
      </c>
      <c r="S48" s="216">
        <v>24.9</v>
      </c>
      <c r="T48" s="216">
        <v>24.9</v>
      </c>
      <c r="U48" s="216">
        <v>24.8</v>
      </c>
      <c r="V48" s="216">
        <v>24.7</v>
      </c>
      <c r="W48" s="216">
        <v>24.6</v>
      </c>
      <c r="X48" s="216">
        <v>24.6</v>
      </c>
    </row>
    <row r="49" spans="1:98" x14ac:dyDescent="0.2">
      <c r="A49" t="s">
        <v>634</v>
      </c>
      <c r="B49" s="125" t="s">
        <v>200</v>
      </c>
      <c r="C49" s="89">
        <f t="shared" si="0"/>
        <v>8.021249105414584E-4</v>
      </c>
      <c r="D49" t="s">
        <v>155</v>
      </c>
      <c r="E49" s="89">
        <f t="shared" si="1"/>
        <v>3.3052495139338951E-2</v>
      </c>
      <c r="F49" s="214">
        <v>23133</v>
      </c>
      <c r="G49" s="83">
        <v>1655</v>
      </c>
      <c r="H49" s="83">
        <v>1670</v>
      </c>
      <c r="I49" s="83">
        <v>1560</v>
      </c>
      <c r="J49" s="83">
        <v>1430</v>
      </c>
      <c r="K49" s="83">
        <v>1400</v>
      </c>
      <c r="L49" s="83">
        <v>86108000</v>
      </c>
      <c r="M49" s="103" t="s">
        <v>200</v>
      </c>
      <c r="N49" s="215">
        <v>22796</v>
      </c>
      <c r="O49" s="214">
        <v>23133</v>
      </c>
      <c r="P49" s="216">
        <v>23</v>
      </c>
      <c r="Q49" s="216">
        <v>23</v>
      </c>
      <c r="R49" s="216">
        <v>23.1</v>
      </c>
      <c r="S49" s="216">
        <v>23.1</v>
      </c>
      <c r="T49" s="216">
        <v>23.2</v>
      </c>
      <c r="U49" s="216">
        <v>23.2</v>
      </c>
      <c r="V49" s="216">
        <v>23.2</v>
      </c>
      <c r="W49" s="216">
        <v>23.3</v>
      </c>
      <c r="X49" s="216">
        <v>23.3</v>
      </c>
    </row>
    <row r="50" spans="1:98" x14ac:dyDescent="0.2">
      <c r="A50" t="s">
        <v>640</v>
      </c>
      <c r="B50" s="125" t="s">
        <v>403</v>
      </c>
      <c r="C50" s="89">
        <f t="shared" si="0"/>
        <v>-4.0148858862823922E-3</v>
      </c>
      <c r="D50" t="s">
        <v>555</v>
      </c>
      <c r="E50" s="89">
        <f t="shared" si="1"/>
        <v>1.8339276617422313E-2</v>
      </c>
      <c r="F50" s="214">
        <v>22721</v>
      </c>
      <c r="G50" s="83">
        <v>2055</v>
      </c>
      <c r="H50" s="83">
        <v>2015</v>
      </c>
      <c r="I50" s="83">
        <v>1970</v>
      </c>
      <c r="J50" s="83">
        <v>1900</v>
      </c>
      <c r="K50" s="83">
        <v>1875</v>
      </c>
      <c r="L50" s="83">
        <v>14273000</v>
      </c>
      <c r="M50" s="103" t="s">
        <v>403</v>
      </c>
      <c r="N50" s="214">
        <v>22684</v>
      </c>
      <c r="O50" s="214">
        <v>22721</v>
      </c>
      <c r="P50" s="216">
        <v>22.4</v>
      </c>
      <c r="Q50" s="216">
        <v>22.4</v>
      </c>
      <c r="R50" s="216">
        <v>22.4</v>
      </c>
      <c r="S50" s="216">
        <v>22.2</v>
      </c>
      <c r="T50" s="216">
        <v>22.1</v>
      </c>
      <c r="U50" s="216">
        <v>22.1</v>
      </c>
      <c r="V50" s="216">
        <v>22</v>
      </c>
      <c r="W50" s="216">
        <v>21.9</v>
      </c>
      <c r="X50" s="216">
        <v>21.9</v>
      </c>
    </row>
    <row r="51" spans="1:98" x14ac:dyDescent="0.2">
      <c r="A51" t="s">
        <v>629</v>
      </c>
      <c r="B51" s="125" t="s">
        <v>426</v>
      </c>
      <c r="C51" s="89">
        <f t="shared" si="0"/>
        <v>4.2692143491755805E-4</v>
      </c>
      <c r="D51" t="s">
        <v>155</v>
      </c>
      <c r="E51" s="89">
        <f t="shared" si="1"/>
        <v>1.8788163457022077E-2</v>
      </c>
      <c r="F51" s="214">
        <v>28889</v>
      </c>
      <c r="G51" s="83">
        <v>2225</v>
      </c>
      <c r="H51" s="83">
        <v>2200</v>
      </c>
      <c r="I51" s="83">
        <v>2125</v>
      </c>
      <c r="J51" s="83">
        <v>2070</v>
      </c>
      <c r="K51" s="83">
        <v>2025</v>
      </c>
      <c r="L51" s="83">
        <v>72848000</v>
      </c>
      <c r="M51" s="103" t="s">
        <v>426</v>
      </c>
      <c r="N51" s="214">
        <v>28719</v>
      </c>
      <c r="O51" s="214">
        <v>28889</v>
      </c>
      <c r="P51" s="216">
        <v>29.2</v>
      </c>
      <c r="Q51" s="216">
        <v>29.1</v>
      </c>
      <c r="R51" s="216">
        <v>29.1</v>
      </c>
      <c r="S51" s="216">
        <v>29.1</v>
      </c>
      <c r="T51" s="216">
        <v>29.1</v>
      </c>
      <c r="U51" s="216">
        <v>29.1</v>
      </c>
      <c r="V51" s="216">
        <v>29.1</v>
      </c>
      <c r="W51" s="216">
        <v>29</v>
      </c>
      <c r="X51" s="216">
        <v>29</v>
      </c>
      <c r="Y51" s="109"/>
      <c r="Z51" s="109"/>
      <c r="AA51" s="109"/>
      <c r="AB51" s="109"/>
      <c r="AC51" s="109"/>
      <c r="AD51" s="109"/>
      <c r="AE51" s="109"/>
      <c r="AF51" s="109"/>
      <c r="AG51" s="109"/>
      <c r="AH51" s="109"/>
      <c r="AI51" s="109"/>
      <c r="AJ51" s="109"/>
      <c r="AK51" s="109"/>
      <c r="AL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row>
    <row r="52" spans="1:98" x14ac:dyDescent="0.2">
      <c r="A52" t="s">
        <v>629</v>
      </c>
      <c r="B52" s="125" t="s">
        <v>427</v>
      </c>
      <c r="C52" s="89">
        <f t="shared" si="0"/>
        <v>2.2454005504852961E-3</v>
      </c>
      <c r="D52" t="s">
        <v>155</v>
      </c>
      <c r="E52" s="89">
        <f t="shared" si="1"/>
        <v>2.0547945205479451E-2</v>
      </c>
      <c r="F52" s="214">
        <v>30680</v>
      </c>
      <c r="G52" s="83">
        <v>2635</v>
      </c>
      <c r="H52" s="83">
        <v>2555</v>
      </c>
      <c r="I52" s="83">
        <v>2460</v>
      </c>
      <c r="J52" s="83">
        <v>2380</v>
      </c>
      <c r="K52" s="83">
        <v>2380</v>
      </c>
      <c r="L52" s="83">
        <v>38146000</v>
      </c>
      <c r="M52" s="103" t="s">
        <v>427</v>
      </c>
      <c r="N52" s="214">
        <v>30668</v>
      </c>
      <c r="O52" s="214">
        <v>30680</v>
      </c>
      <c r="P52" s="216">
        <v>30.7</v>
      </c>
      <c r="Q52" s="216">
        <v>30.8</v>
      </c>
      <c r="R52" s="216">
        <v>30.9</v>
      </c>
      <c r="S52" s="216">
        <v>31</v>
      </c>
      <c r="T52" s="216">
        <v>31</v>
      </c>
      <c r="U52" s="216">
        <v>31.1</v>
      </c>
      <c r="V52" s="216">
        <v>31.2</v>
      </c>
      <c r="W52" s="216">
        <v>31.2</v>
      </c>
      <c r="X52" s="216">
        <v>31.3</v>
      </c>
    </row>
    <row r="53" spans="1:98" s="109" customFormat="1" x14ac:dyDescent="0.2">
      <c r="A53" s="109" t="s">
        <v>629</v>
      </c>
      <c r="B53" s="125" t="s">
        <v>428</v>
      </c>
      <c r="C53" s="89">
        <f t="shared" si="0"/>
        <v>7.8313351365177503E-3</v>
      </c>
      <c r="D53" t="s">
        <v>526</v>
      </c>
      <c r="E53" s="89">
        <f t="shared" si="1"/>
        <v>2.6090220859663393E-2</v>
      </c>
      <c r="F53" s="214">
        <v>183749</v>
      </c>
      <c r="G53" s="83">
        <v>17040</v>
      </c>
      <c r="H53" s="83">
        <v>16570</v>
      </c>
      <c r="I53" s="83">
        <v>16040</v>
      </c>
      <c r="J53" s="83">
        <v>15310</v>
      </c>
      <c r="K53" s="83">
        <v>14955</v>
      </c>
      <c r="L53" s="83">
        <v>417556000</v>
      </c>
      <c r="M53" s="103" t="s">
        <v>428</v>
      </c>
      <c r="N53" s="214">
        <v>182777</v>
      </c>
      <c r="O53" s="214">
        <v>183749</v>
      </c>
      <c r="P53" s="216">
        <v>186.5</v>
      </c>
      <c r="Q53" s="216">
        <v>188</v>
      </c>
      <c r="R53" s="216">
        <v>189.5</v>
      </c>
      <c r="S53" s="216">
        <v>190.9</v>
      </c>
      <c r="T53" s="216">
        <v>192.2</v>
      </c>
      <c r="U53" s="216">
        <v>193.4</v>
      </c>
      <c r="V53" s="216">
        <v>194.6</v>
      </c>
      <c r="W53" s="216">
        <v>195.6</v>
      </c>
      <c r="X53" s="216">
        <v>196.7</v>
      </c>
      <c r="Y53"/>
      <c r="Z53"/>
      <c r="AA53"/>
      <c r="AB53"/>
      <c r="AC53"/>
      <c r="AD53"/>
      <c r="AE53"/>
      <c r="AF53"/>
      <c r="AG53"/>
      <c r="AH53"/>
      <c r="AI53"/>
      <c r="AJ53"/>
      <c r="AK53"/>
      <c r="AL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row>
    <row r="54" spans="1:98" x14ac:dyDescent="0.2">
      <c r="A54" t="s">
        <v>633</v>
      </c>
      <c r="B54" s="125" t="s">
        <v>352</v>
      </c>
      <c r="C54" s="89">
        <f t="shared" si="0"/>
        <v>4.3985016380176725E-3</v>
      </c>
      <c r="D54" t="s">
        <v>555</v>
      </c>
      <c r="E54" s="89">
        <f t="shared" si="1"/>
        <v>2.2019741837509491E-2</v>
      </c>
      <c r="F54" s="214">
        <v>17026</v>
      </c>
      <c r="G54" s="83">
        <v>1400</v>
      </c>
      <c r="H54" s="83">
        <v>1370</v>
      </c>
      <c r="I54" s="108">
        <v>1300</v>
      </c>
      <c r="J54" s="83">
        <v>1260</v>
      </c>
      <c r="K54" s="108">
        <v>1255</v>
      </c>
      <c r="L54" s="83">
        <v>-48406000</v>
      </c>
      <c r="M54" s="108" t="s">
        <v>352</v>
      </c>
      <c r="N54" s="214">
        <v>16837</v>
      </c>
      <c r="O54" s="214">
        <v>17026</v>
      </c>
      <c r="P54" s="216">
        <v>17</v>
      </c>
      <c r="Q54" s="216">
        <v>17.2</v>
      </c>
      <c r="R54" s="216">
        <v>17.2</v>
      </c>
      <c r="S54" s="216">
        <v>17.2</v>
      </c>
      <c r="T54" s="216">
        <v>17.3</v>
      </c>
      <c r="U54" s="216">
        <v>17.399999999999999</v>
      </c>
      <c r="V54" s="216">
        <v>17.5</v>
      </c>
      <c r="W54" s="216">
        <v>17.600000000000001</v>
      </c>
      <c r="X54" s="216">
        <v>17.7</v>
      </c>
    </row>
    <row r="55" spans="1:98" x14ac:dyDescent="0.2">
      <c r="A55" t="s">
        <v>631</v>
      </c>
      <c r="B55" s="125" t="s">
        <v>229</v>
      </c>
      <c r="C55" s="89">
        <f t="shared" si="0"/>
        <v>-8.4115805946791862E-3</v>
      </c>
      <c r="D55" t="s">
        <v>555</v>
      </c>
      <c r="E55" s="89">
        <f t="shared" si="1"/>
        <v>2.0152505446623094E-2</v>
      </c>
      <c r="F55" s="214">
        <v>36352</v>
      </c>
      <c r="G55" s="83">
        <v>3875</v>
      </c>
      <c r="H55" s="83">
        <v>3765</v>
      </c>
      <c r="I55" s="83">
        <v>3655</v>
      </c>
      <c r="J55" s="83">
        <v>3560</v>
      </c>
      <c r="K55" s="83">
        <v>3505</v>
      </c>
      <c r="L55" s="83">
        <v>3905000</v>
      </c>
      <c r="M55" s="103" t="s">
        <v>229</v>
      </c>
      <c r="N55" s="214">
        <v>36418</v>
      </c>
      <c r="O55" s="214">
        <v>36352</v>
      </c>
      <c r="P55" s="216">
        <v>36</v>
      </c>
      <c r="Q55" s="216">
        <v>35.799999999999997</v>
      </c>
      <c r="R55" s="216">
        <v>35.6</v>
      </c>
      <c r="S55" s="216">
        <v>35.299999999999997</v>
      </c>
      <c r="T55" s="216">
        <v>35</v>
      </c>
      <c r="U55" s="216">
        <v>34.6</v>
      </c>
      <c r="V55" s="216">
        <v>34.299999999999997</v>
      </c>
      <c r="W55" s="216">
        <v>33.9</v>
      </c>
      <c r="X55" s="216">
        <v>33.6</v>
      </c>
    </row>
    <row r="56" spans="1:98" x14ac:dyDescent="0.2">
      <c r="A56" t="s">
        <v>631</v>
      </c>
      <c r="B56" s="125" t="s">
        <v>230</v>
      </c>
      <c r="C56" s="89">
        <f t="shared" si="0"/>
        <v>2.3276346416245285E-3</v>
      </c>
      <c r="D56" t="s">
        <v>155</v>
      </c>
      <c r="E56" s="89">
        <f t="shared" si="1"/>
        <v>2.1685254027261461E-2</v>
      </c>
      <c r="F56" s="214">
        <v>20765</v>
      </c>
      <c r="G56" s="83">
        <v>1710</v>
      </c>
      <c r="H56" s="83">
        <v>1680</v>
      </c>
      <c r="I56" s="83">
        <v>1600</v>
      </c>
      <c r="J56" s="83">
        <v>1545</v>
      </c>
      <c r="K56" s="83">
        <v>1535</v>
      </c>
      <c r="L56" s="83">
        <v>39492000</v>
      </c>
      <c r="M56" s="103" t="s">
        <v>230</v>
      </c>
      <c r="N56" s="214">
        <v>20840</v>
      </c>
      <c r="O56" s="214">
        <v>20765</v>
      </c>
      <c r="P56" s="216">
        <v>21</v>
      </c>
      <c r="Q56" s="216">
        <v>21.1</v>
      </c>
      <c r="R56" s="216">
        <v>21.1</v>
      </c>
      <c r="S56" s="216">
        <v>21.2</v>
      </c>
      <c r="T56" s="216">
        <v>21.2</v>
      </c>
      <c r="U56" s="216">
        <v>21.2</v>
      </c>
      <c r="V56" s="216">
        <v>21.2</v>
      </c>
      <c r="W56" s="216">
        <v>21.2</v>
      </c>
      <c r="X56" s="216">
        <v>21.2</v>
      </c>
    </row>
    <row r="57" spans="1:98" x14ac:dyDescent="0.2">
      <c r="A57" t="s">
        <v>638</v>
      </c>
      <c r="B57" s="125" t="s">
        <v>481</v>
      </c>
      <c r="C57" s="89">
        <f t="shared" si="0"/>
        <v>-1.2594061899814238E-4</v>
      </c>
      <c r="D57" t="s">
        <v>155</v>
      </c>
      <c r="E57" s="89">
        <f t="shared" si="1"/>
        <v>1.6936671575846832E-2</v>
      </c>
      <c r="F57" s="214">
        <v>28232</v>
      </c>
      <c r="G57" s="83">
        <v>1440</v>
      </c>
      <c r="H57" s="83">
        <v>1370</v>
      </c>
      <c r="I57" s="83">
        <v>1315</v>
      </c>
      <c r="J57" s="83">
        <v>1340</v>
      </c>
      <c r="K57" s="83">
        <v>1325</v>
      </c>
      <c r="L57" s="83">
        <v>-1790000</v>
      </c>
      <c r="M57" s="103" t="s">
        <v>481</v>
      </c>
      <c r="N57" s="214">
        <v>28373</v>
      </c>
      <c r="O57" s="214">
        <v>28232</v>
      </c>
      <c r="P57" s="216">
        <v>28.5</v>
      </c>
      <c r="Q57" s="216">
        <v>28.4</v>
      </c>
      <c r="R57" s="216">
        <v>28.3</v>
      </c>
      <c r="S57" s="216">
        <v>28.3</v>
      </c>
      <c r="T57" s="216">
        <v>28.3</v>
      </c>
      <c r="U57" s="216">
        <v>28.3</v>
      </c>
      <c r="V57" s="216">
        <v>28.2</v>
      </c>
      <c r="W57" s="216">
        <v>28.2</v>
      </c>
      <c r="X57" s="216">
        <v>28.2</v>
      </c>
    </row>
    <row r="58" spans="1:98" x14ac:dyDescent="0.2">
      <c r="A58" t="s">
        <v>636</v>
      </c>
      <c r="B58" s="125" t="s">
        <v>278</v>
      </c>
      <c r="C58" s="89">
        <f t="shared" si="0"/>
        <v>8.6694858929132253E-3</v>
      </c>
      <c r="D58" t="s">
        <v>555</v>
      </c>
      <c r="E58" s="89">
        <f t="shared" si="1"/>
        <v>3.074866310160428E-2</v>
      </c>
      <c r="F58" s="214">
        <v>15213</v>
      </c>
      <c r="G58" s="83">
        <v>1625</v>
      </c>
      <c r="H58" s="83">
        <v>1550</v>
      </c>
      <c r="I58" s="83">
        <v>1495</v>
      </c>
      <c r="J58" s="83">
        <v>1415</v>
      </c>
      <c r="K58" s="83">
        <v>1395</v>
      </c>
      <c r="L58" s="83">
        <v>6791000</v>
      </c>
      <c r="M58" s="103" t="s">
        <v>278</v>
      </c>
      <c r="N58" s="214">
        <v>15156</v>
      </c>
      <c r="O58" s="214">
        <v>15213</v>
      </c>
      <c r="P58" s="216">
        <v>15.2</v>
      </c>
      <c r="Q58" s="216">
        <v>15.4</v>
      </c>
      <c r="R58" s="216">
        <v>15.5</v>
      </c>
      <c r="S58" s="216">
        <v>15.6</v>
      </c>
      <c r="T58" s="216">
        <v>15.7</v>
      </c>
      <c r="U58" s="216">
        <v>15.8</v>
      </c>
      <c r="V58" s="216">
        <v>16</v>
      </c>
      <c r="W58" s="216">
        <v>16.2</v>
      </c>
      <c r="X58" s="216">
        <v>16.399999999999999</v>
      </c>
    </row>
    <row r="59" spans="1:98" x14ac:dyDescent="0.2">
      <c r="A59" t="s">
        <v>636</v>
      </c>
      <c r="B59" s="125" t="s">
        <v>279</v>
      </c>
      <c r="C59" s="89">
        <f t="shared" si="0"/>
        <v>9.5880032395433291E-3</v>
      </c>
      <c r="D59" t="s">
        <v>555</v>
      </c>
      <c r="E59" s="89">
        <f t="shared" si="1"/>
        <v>2.5898520084566595E-2</v>
      </c>
      <c r="F59" s="214">
        <v>21265</v>
      </c>
      <c r="G59" s="83">
        <v>2020</v>
      </c>
      <c r="H59" s="83">
        <v>1970</v>
      </c>
      <c r="I59" s="83">
        <v>1880</v>
      </c>
      <c r="J59" s="83">
        <v>1815</v>
      </c>
      <c r="K59" s="83">
        <v>1775</v>
      </c>
      <c r="L59" s="83">
        <v>35949000</v>
      </c>
      <c r="M59" s="103" t="s">
        <v>279</v>
      </c>
      <c r="N59" s="214">
        <v>21022</v>
      </c>
      <c r="O59" s="214">
        <v>21265</v>
      </c>
      <c r="P59" s="216">
        <v>21.3</v>
      </c>
      <c r="Q59" s="216">
        <v>21.4</v>
      </c>
      <c r="R59" s="216">
        <v>21.7</v>
      </c>
      <c r="S59" s="216">
        <v>22</v>
      </c>
      <c r="T59" s="216">
        <v>22.2</v>
      </c>
      <c r="U59" s="216">
        <v>22.5</v>
      </c>
      <c r="V59" s="216">
        <v>22.7</v>
      </c>
      <c r="W59" s="216">
        <v>22.9</v>
      </c>
      <c r="X59" s="216">
        <v>23.1</v>
      </c>
    </row>
    <row r="60" spans="1:98" x14ac:dyDescent="0.2">
      <c r="A60" t="s">
        <v>631</v>
      </c>
      <c r="B60" s="125" t="s">
        <v>231</v>
      </c>
      <c r="C60" s="89">
        <f t="shared" si="0"/>
        <v>-1.5132929507526418E-3</v>
      </c>
      <c r="D60" t="s">
        <v>555</v>
      </c>
      <c r="E60" s="89">
        <f t="shared" si="1"/>
        <v>1.5182186234817813E-2</v>
      </c>
      <c r="F60" s="214">
        <v>26359</v>
      </c>
      <c r="G60" s="83">
        <v>3090</v>
      </c>
      <c r="H60" s="83">
        <v>3005</v>
      </c>
      <c r="I60" s="83">
        <v>2975</v>
      </c>
      <c r="J60" s="83">
        <v>2885</v>
      </c>
      <c r="K60" s="83">
        <v>2865</v>
      </c>
      <c r="L60" s="83">
        <v>13313000</v>
      </c>
      <c r="M60" s="103" t="s">
        <v>231</v>
      </c>
      <c r="N60" s="214">
        <v>26348</v>
      </c>
      <c r="O60" s="214">
        <v>26359</v>
      </c>
      <c r="P60" s="216">
        <v>26.2</v>
      </c>
      <c r="Q60" s="216">
        <v>26.2</v>
      </c>
      <c r="R60" s="216">
        <v>26.3</v>
      </c>
      <c r="S60" s="216">
        <v>26.3</v>
      </c>
      <c r="T60" s="216">
        <v>26.3</v>
      </c>
      <c r="U60" s="216">
        <v>26.2</v>
      </c>
      <c r="V60" s="216">
        <v>26.2</v>
      </c>
      <c r="W60" s="216">
        <v>26.1</v>
      </c>
      <c r="X60" s="216">
        <v>26</v>
      </c>
    </row>
    <row r="61" spans="1:98" x14ac:dyDescent="0.2">
      <c r="A61" t="s">
        <v>633</v>
      </c>
      <c r="B61" s="125" t="s">
        <v>353</v>
      </c>
      <c r="C61" s="89">
        <f t="shared" si="0"/>
        <v>2.8847943420807743E-3</v>
      </c>
      <c r="D61" t="s">
        <v>155</v>
      </c>
      <c r="E61" s="89">
        <f t="shared" si="1"/>
        <v>1.7323159414312228E-2</v>
      </c>
      <c r="F61" s="214">
        <v>66864</v>
      </c>
      <c r="G61" s="83">
        <v>5080</v>
      </c>
      <c r="H61" s="83">
        <v>4980</v>
      </c>
      <c r="I61" s="83">
        <v>4815</v>
      </c>
      <c r="J61" s="83">
        <v>4710</v>
      </c>
      <c r="K61" s="83">
        <v>4660</v>
      </c>
      <c r="L61" s="83">
        <v>4074000</v>
      </c>
      <c r="M61" s="103" t="s">
        <v>353</v>
      </c>
      <c r="N61" s="214">
        <v>66445</v>
      </c>
      <c r="O61" s="214">
        <v>66864</v>
      </c>
      <c r="P61" s="216">
        <v>67</v>
      </c>
      <c r="Q61" s="216">
        <v>67.2</v>
      </c>
      <c r="R61" s="216">
        <v>67.400000000000006</v>
      </c>
      <c r="S61" s="216">
        <v>67.5</v>
      </c>
      <c r="T61" s="216">
        <v>67.7</v>
      </c>
      <c r="U61" s="216">
        <v>67.900000000000006</v>
      </c>
      <c r="V61" s="216">
        <v>68.099999999999994</v>
      </c>
      <c r="W61" s="216">
        <v>68.400000000000006</v>
      </c>
      <c r="X61" s="216">
        <v>68.599999999999994</v>
      </c>
    </row>
    <row r="62" spans="1:98" x14ac:dyDescent="0.2">
      <c r="A62" t="s">
        <v>630</v>
      </c>
      <c r="B62" s="125" t="s">
        <v>309</v>
      </c>
      <c r="C62" s="89">
        <f t="shared" si="0"/>
        <v>-6.4594040497654959E-4</v>
      </c>
      <c r="D62" t="s">
        <v>555</v>
      </c>
      <c r="E62" s="89">
        <f t="shared" si="1"/>
        <v>2.8401122019635343E-2</v>
      </c>
      <c r="F62" s="214">
        <v>35607</v>
      </c>
      <c r="G62" s="83">
        <v>3055</v>
      </c>
      <c r="H62" s="83">
        <v>2970</v>
      </c>
      <c r="I62" s="83">
        <v>2835</v>
      </c>
      <c r="J62" s="83">
        <v>2750</v>
      </c>
      <c r="K62" s="83">
        <v>2650</v>
      </c>
      <c r="L62" s="83">
        <v>56814000</v>
      </c>
      <c r="M62" s="103" t="s">
        <v>309</v>
      </c>
      <c r="N62" s="214">
        <v>35230</v>
      </c>
      <c r="O62" s="214">
        <v>35607</v>
      </c>
      <c r="P62" s="216">
        <v>34.5</v>
      </c>
      <c r="Q62" s="216">
        <v>34.6</v>
      </c>
      <c r="R62" s="216">
        <v>34.6</v>
      </c>
      <c r="S62" s="216">
        <v>34.700000000000003</v>
      </c>
      <c r="T62" s="216">
        <v>34.799999999999997</v>
      </c>
      <c r="U62" s="216">
        <v>35</v>
      </c>
      <c r="V62" s="216">
        <v>35.200000000000003</v>
      </c>
      <c r="W62" s="216">
        <v>35.299999999999997</v>
      </c>
      <c r="X62" s="216">
        <v>35.4</v>
      </c>
    </row>
    <row r="63" spans="1:98" x14ac:dyDescent="0.2">
      <c r="A63" t="s">
        <v>628</v>
      </c>
      <c r="B63" s="125" t="s">
        <v>146</v>
      </c>
      <c r="C63" s="89">
        <f t="shared" si="0"/>
        <v>-6.2685166819365342E-3</v>
      </c>
      <c r="D63" t="s">
        <v>155</v>
      </c>
      <c r="E63" s="89">
        <f t="shared" si="1"/>
        <v>1.2725344644750796E-2</v>
      </c>
      <c r="F63" s="214">
        <v>35291</v>
      </c>
      <c r="G63" s="83">
        <v>2920</v>
      </c>
      <c r="H63" s="83">
        <v>2865</v>
      </c>
      <c r="I63" s="83">
        <v>2830</v>
      </c>
      <c r="J63" s="83">
        <v>2790</v>
      </c>
      <c r="K63" s="83">
        <v>2740</v>
      </c>
      <c r="L63" s="83">
        <v>98818000</v>
      </c>
      <c r="M63" s="103" t="s">
        <v>146</v>
      </c>
      <c r="N63" s="214">
        <v>35268</v>
      </c>
      <c r="O63" s="214">
        <v>35291</v>
      </c>
      <c r="P63" s="216">
        <v>35.4</v>
      </c>
      <c r="Q63" s="216">
        <v>35.200000000000003</v>
      </c>
      <c r="R63" s="216">
        <v>35.1</v>
      </c>
      <c r="S63" s="216">
        <v>34.799999999999997</v>
      </c>
      <c r="T63" s="216">
        <v>34.5</v>
      </c>
      <c r="U63" s="216">
        <v>34.299999999999997</v>
      </c>
      <c r="V63" s="216">
        <v>33.9</v>
      </c>
      <c r="W63" s="216">
        <v>33.6</v>
      </c>
      <c r="X63" s="216">
        <v>33.299999999999997</v>
      </c>
    </row>
    <row r="64" spans="1:98" x14ac:dyDescent="0.2">
      <c r="A64" t="s">
        <v>629</v>
      </c>
      <c r="B64" s="125" t="s">
        <v>429</v>
      </c>
      <c r="C64" s="89">
        <f t="shared" si="0"/>
        <v>7.4584050487664939E-3</v>
      </c>
      <c r="D64" t="s">
        <v>555</v>
      </c>
      <c r="E64" s="89">
        <f t="shared" si="1"/>
        <v>1.6402116402116401E-2</v>
      </c>
      <c r="F64" s="214">
        <v>20335</v>
      </c>
      <c r="G64" s="83">
        <v>1965</v>
      </c>
      <c r="H64" s="83">
        <v>1925</v>
      </c>
      <c r="I64" s="83">
        <v>1885</v>
      </c>
      <c r="J64" s="83">
        <v>1865</v>
      </c>
      <c r="K64" s="83">
        <v>1810</v>
      </c>
      <c r="L64" s="83">
        <v>-4368000</v>
      </c>
      <c r="M64" s="103" t="s">
        <v>429</v>
      </c>
      <c r="N64" s="214">
        <v>20686</v>
      </c>
      <c r="O64" s="214">
        <v>20335</v>
      </c>
      <c r="P64" s="216">
        <v>21.4</v>
      </c>
      <c r="Q64" s="216">
        <v>21.4</v>
      </c>
      <c r="R64" s="216">
        <v>21.4</v>
      </c>
      <c r="S64" s="216">
        <v>21.5</v>
      </c>
      <c r="T64" s="216">
        <v>21.5</v>
      </c>
      <c r="U64" s="216">
        <v>21.5</v>
      </c>
      <c r="V64" s="216">
        <v>21.6</v>
      </c>
      <c r="W64" s="216">
        <v>21.6</v>
      </c>
      <c r="X64" s="216">
        <v>21.7</v>
      </c>
    </row>
    <row r="65" spans="1:24" x14ac:dyDescent="0.2">
      <c r="A65" t="s">
        <v>633</v>
      </c>
      <c r="B65" s="125" t="s">
        <v>354</v>
      </c>
      <c r="C65" s="89">
        <f t="shared" si="0"/>
        <v>-2.4252503204795066E-4</v>
      </c>
      <c r="D65" t="s">
        <v>555</v>
      </c>
      <c r="E65" s="89">
        <f t="shared" si="1"/>
        <v>2.1086780210867802E-2</v>
      </c>
      <c r="F65" s="214">
        <v>12828</v>
      </c>
      <c r="G65" s="83">
        <v>1310</v>
      </c>
      <c r="H65" s="83">
        <v>1250</v>
      </c>
      <c r="I65" s="83">
        <v>1230</v>
      </c>
      <c r="J65" s="83">
        <v>1195</v>
      </c>
      <c r="K65" s="83">
        <v>1180</v>
      </c>
      <c r="L65" s="83">
        <v>3220000</v>
      </c>
      <c r="M65" s="103" t="s">
        <v>354</v>
      </c>
      <c r="N65" s="214">
        <v>12797</v>
      </c>
      <c r="O65" s="214">
        <v>12828</v>
      </c>
      <c r="P65" s="216">
        <v>12.9</v>
      </c>
      <c r="Q65" s="216">
        <v>12.9</v>
      </c>
      <c r="R65" s="216">
        <v>12.9</v>
      </c>
      <c r="S65" s="216">
        <v>12.9</v>
      </c>
      <c r="T65" s="216">
        <v>12.9</v>
      </c>
      <c r="U65" s="216">
        <v>12.8</v>
      </c>
      <c r="V65" s="216">
        <v>12.8</v>
      </c>
      <c r="W65" s="216">
        <v>12.8</v>
      </c>
      <c r="X65" s="216">
        <v>12.8</v>
      </c>
    </row>
    <row r="66" spans="1:24" x14ac:dyDescent="0.2">
      <c r="A66" t="s">
        <v>629</v>
      </c>
      <c r="B66" s="125" t="s">
        <v>430</v>
      </c>
      <c r="C66" s="89">
        <f t="shared" si="0"/>
        <v>5.2846344237072714E-3</v>
      </c>
      <c r="D66" t="s">
        <v>155</v>
      </c>
      <c r="E66" s="89">
        <f t="shared" si="1"/>
        <v>1.7626321974148061E-2</v>
      </c>
      <c r="F66" s="214">
        <v>24915</v>
      </c>
      <c r="G66" s="83">
        <v>1805</v>
      </c>
      <c r="H66" s="83">
        <v>1735</v>
      </c>
      <c r="I66" s="83">
        <v>1680</v>
      </c>
      <c r="J66" s="83">
        <v>1635</v>
      </c>
      <c r="K66" s="83">
        <v>1655</v>
      </c>
      <c r="L66" s="83">
        <v>11798000</v>
      </c>
      <c r="M66" s="103" t="s">
        <v>430</v>
      </c>
      <c r="N66" s="214">
        <v>24703</v>
      </c>
      <c r="O66" s="214">
        <v>24915</v>
      </c>
      <c r="P66" s="216">
        <v>25.1</v>
      </c>
      <c r="Q66" s="216">
        <v>25.3</v>
      </c>
      <c r="R66" s="216">
        <v>25.6</v>
      </c>
      <c r="S66" s="216">
        <v>25.7</v>
      </c>
      <c r="T66" s="216">
        <v>25.8</v>
      </c>
      <c r="U66" s="216">
        <v>25.9</v>
      </c>
      <c r="V66" s="216">
        <v>25.9</v>
      </c>
      <c r="W66" s="216">
        <v>26.1</v>
      </c>
      <c r="X66" s="216">
        <v>26.1</v>
      </c>
    </row>
    <row r="67" spans="1:24" x14ac:dyDescent="0.2">
      <c r="A67" t="s">
        <v>631</v>
      </c>
      <c r="B67" s="125" t="s">
        <v>232</v>
      </c>
      <c r="C67" s="89">
        <f t="shared" ref="C67:C130" si="2">(SUM(X67*1000,-O67)/9)/O67</f>
        <v>-2.3447813836180568E-3</v>
      </c>
      <c r="D67" t="s">
        <v>155</v>
      </c>
      <c r="E67" s="89">
        <f t="shared" ref="E67:E130" si="3">SUM(G67,-K67)/SUM(G67,H67,I67,J67,K67)</f>
        <v>1.8189692507579038E-2</v>
      </c>
      <c r="F67" s="214">
        <v>28195</v>
      </c>
      <c r="G67" s="83">
        <v>2410</v>
      </c>
      <c r="H67" s="83">
        <v>2385</v>
      </c>
      <c r="I67" s="83">
        <v>2320</v>
      </c>
      <c r="J67" s="83">
        <v>2230</v>
      </c>
      <c r="K67" s="83">
        <v>2200</v>
      </c>
      <c r="L67" s="83">
        <v>57874000</v>
      </c>
      <c r="M67" s="103" t="s">
        <v>232</v>
      </c>
      <c r="N67" s="214">
        <v>27865</v>
      </c>
      <c r="O67" s="214">
        <v>28195</v>
      </c>
      <c r="P67" s="216">
        <v>27.4</v>
      </c>
      <c r="Q67" s="216">
        <v>27.4</v>
      </c>
      <c r="R67" s="216">
        <v>27.5</v>
      </c>
      <c r="S67" s="216">
        <v>27.6</v>
      </c>
      <c r="T67" s="216">
        <v>27.6</v>
      </c>
      <c r="U67" s="216">
        <v>27.7</v>
      </c>
      <c r="V67" s="216">
        <v>27.7</v>
      </c>
      <c r="W67" s="216">
        <v>27.6</v>
      </c>
      <c r="X67" s="216">
        <v>27.6</v>
      </c>
    </row>
    <row r="68" spans="1:24" x14ac:dyDescent="0.2">
      <c r="A68" t="s">
        <v>634</v>
      </c>
      <c r="B68" s="125" t="s">
        <v>201</v>
      </c>
      <c r="C68" s="89">
        <f t="shared" si="2"/>
        <v>2.9417779665549737E-3</v>
      </c>
      <c r="D68" t="s">
        <v>555</v>
      </c>
      <c r="E68" s="89">
        <f t="shared" si="3"/>
        <v>2.6755852842809364E-2</v>
      </c>
      <c r="F68" s="214">
        <v>28252</v>
      </c>
      <c r="G68" s="83">
        <v>2560</v>
      </c>
      <c r="H68" s="83">
        <v>2470</v>
      </c>
      <c r="I68" s="83">
        <v>2385</v>
      </c>
      <c r="J68" s="83">
        <v>2305</v>
      </c>
      <c r="K68" s="83">
        <v>2240</v>
      </c>
      <c r="L68" s="83">
        <v>-6146000</v>
      </c>
      <c r="M68" s="103" t="s">
        <v>201</v>
      </c>
      <c r="N68" s="214">
        <v>28070</v>
      </c>
      <c r="O68" s="214">
        <v>28252</v>
      </c>
      <c r="P68" s="216">
        <v>28.1</v>
      </c>
      <c r="Q68" s="216">
        <v>28.2</v>
      </c>
      <c r="R68" s="216">
        <v>28.4</v>
      </c>
      <c r="S68" s="216">
        <v>28.5</v>
      </c>
      <c r="T68" s="216">
        <v>28.6</v>
      </c>
      <c r="U68" s="216">
        <v>28.7</v>
      </c>
      <c r="V68" s="216">
        <v>28.8</v>
      </c>
      <c r="W68" s="216">
        <v>28.9</v>
      </c>
      <c r="X68" s="216">
        <v>29</v>
      </c>
    </row>
    <row r="69" spans="1:24" x14ac:dyDescent="0.2">
      <c r="A69" t="s">
        <v>632</v>
      </c>
      <c r="B69" s="125" t="s">
        <v>181</v>
      </c>
      <c r="C69" s="89">
        <f t="shared" si="2"/>
        <v>-4.1774628523081805E-3</v>
      </c>
      <c r="D69" t="s">
        <v>155</v>
      </c>
      <c r="E69" s="89">
        <f t="shared" si="3"/>
        <v>2.0717131474103586E-2</v>
      </c>
      <c r="F69" s="214">
        <v>18911</v>
      </c>
      <c r="G69" s="83">
        <v>1330</v>
      </c>
      <c r="H69" s="83">
        <v>1295</v>
      </c>
      <c r="I69" s="83">
        <v>1245</v>
      </c>
      <c r="J69" s="83">
        <v>1205</v>
      </c>
      <c r="K69" s="83">
        <v>1200</v>
      </c>
      <c r="L69" s="83">
        <v>19509000</v>
      </c>
      <c r="M69" s="103" t="s">
        <v>181</v>
      </c>
      <c r="N69" s="214">
        <v>18943</v>
      </c>
      <c r="O69" s="214">
        <v>18911</v>
      </c>
      <c r="P69" s="216">
        <v>18.8</v>
      </c>
      <c r="Q69" s="216">
        <v>18.600000000000001</v>
      </c>
      <c r="R69" s="216">
        <v>18.5</v>
      </c>
      <c r="S69" s="216">
        <v>18.5</v>
      </c>
      <c r="T69" s="216">
        <v>18.399999999999999</v>
      </c>
      <c r="U69" s="216">
        <v>18.3</v>
      </c>
      <c r="V69" s="216">
        <v>18.3</v>
      </c>
      <c r="W69" s="216">
        <v>18.3</v>
      </c>
      <c r="X69" s="216">
        <v>18.2</v>
      </c>
    </row>
    <row r="70" spans="1:24" x14ac:dyDescent="0.2">
      <c r="A70" t="s">
        <v>636</v>
      </c>
      <c r="B70" s="125" t="s">
        <v>280</v>
      </c>
      <c r="C70" s="89">
        <f t="shared" si="2"/>
        <v>-4.7995768282342692E-3</v>
      </c>
      <c r="D70" t="s">
        <v>555</v>
      </c>
      <c r="E70" s="89">
        <f t="shared" si="3"/>
        <v>2.4396077493422628E-2</v>
      </c>
      <c r="F70" s="214">
        <v>42851</v>
      </c>
      <c r="G70" s="83">
        <v>4455</v>
      </c>
      <c r="H70" s="83">
        <v>4320</v>
      </c>
      <c r="I70" s="83">
        <v>4160</v>
      </c>
      <c r="J70" s="83">
        <v>4025</v>
      </c>
      <c r="K70" s="83">
        <v>3945</v>
      </c>
      <c r="L70" s="83">
        <v>69322000</v>
      </c>
      <c r="M70" s="103" t="s">
        <v>280</v>
      </c>
      <c r="N70" s="214">
        <v>42759</v>
      </c>
      <c r="O70" s="214">
        <v>42851</v>
      </c>
      <c r="P70" s="216">
        <v>42.1</v>
      </c>
      <c r="Q70" s="216">
        <v>42.1</v>
      </c>
      <c r="R70" s="216">
        <v>41.8</v>
      </c>
      <c r="S70" s="216">
        <v>41.5</v>
      </c>
      <c r="T70" s="216">
        <v>41.3</v>
      </c>
      <c r="U70" s="216">
        <v>41.1</v>
      </c>
      <c r="V70" s="216">
        <v>41</v>
      </c>
      <c r="W70" s="216">
        <v>41</v>
      </c>
      <c r="X70" s="216">
        <v>41</v>
      </c>
    </row>
    <row r="71" spans="1:24" x14ac:dyDescent="0.2">
      <c r="A71" t="s">
        <v>632</v>
      </c>
      <c r="B71" s="125" t="s">
        <v>641</v>
      </c>
      <c r="C71" s="89">
        <f t="shared" si="2"/>
        <v>-1.7785338694710794E-3</v>
      </c>
      <c r="D71" t="s">
        <v>155</v>
      </c>
      <c r="E71" s="89">
        <f t="shared" si="3"/>
        <v>1.3971291866028707E-2</v>
      </c>
      <c r="F71" s="214">
        <v>51728</v>
      </c>
      <c r="G71" s="83">
        <v>5450</v>
      </c>
      <c r="H71" s="83">
        <v>5325</v>
      </c>
      <c r="I71" s="83">
        <v>5155</v>
      </c>
      <c r="J71" s="83">
        <v>5110</v>
      </c>
      <c r="K71" s="83">
        <v>5085</v>
      </c>
      <c r="L71" s="93">
        <v>29068070.175438594</v>
      </c>
      <c r="M71" s="103" t="s">
        <v>641</v>
      </c>
      <c r="N71" s="214">
        <v>51589</v>
      </c>
      <c r="O71" s="214">
        <v>51728</v>
      </c>
      <c r="P71" s="216">
        <v>51.4</v>
      </c>
      <c r="Q71" s="216">
        <v>51.4</v>
      </c>
      <c r="R71" s="216">
        <v>51.4</v>
      </c>
      <c r="S71" s="216">
        <v>51.3</v>
      </c>
      <c r="T71" s="216">
        <v>51.3</v>
      </c>
      <c r="U71" s="216">
        <v>51.2</v>
      </c>
      <c r="V71" s="216">
        <v>51.1</v>
      </c>
      <c r="W71" s="216">
        <v>51</v>
      </c>
      <c r="X71" s="216">
        <v>50.9</v>
      </c>
    </row>
    <row r="72" spans="1:24" x14ac:dyDescent="0.2">
      <c r="A72" t="s">
        <v>637</v>
      </c>
      <c r="B72" s="125" t="s">
        <v>159</v>
      </c>
      <c r="C72" s="89">
        <f t="shared" si="2"/>
        <v>-6.2372357454324664E-3</v>
      </c>
      <c r="D72" t="s">
        <v>155</v>
      </c>
      <c r="E72" s="89">
        <f t="shared" si="3"/>
        <v>6.3357972544878568E-3</v>
      </c>
      <c r="F72" s="214">
        <v>10065</v>
      </c>
      <c r="G72" s="83">
        <v>950</v>
      </c>
      <c r="H72" s="83">
        <v>965</v>
      </c>
      <c r="I72" s="83">
        <v>955</v>
      </c>
      <c r="J72" s="83">
        <v>945</v>
      </c>
      <c r="K72" s="83">
        <v>920</v>
      </c>
      <c r="L72" s="83">
        <v>26368000</v>
      </c>
      <c r="M72" s="103" t="s">
        <v>159</v>
      </c>
      <c r="N72" s="214">
        <v>10083</v>
      </c>
      <c r="O72" s="214">
        <v>10065</v>
      </c>
      <c r="P72" s="216">
        <v>10.1</v>
      </c>
      <c r="Q72" s="216">
        <v>10</v>
      </c>
      <c r="R72" s="216">
        <v>9.9</v>
      </c>
      <c r="S72" s="216">
        <v>9.8000000000000007</v>
      </c>
      <c r="T72" s="216">
        <v>9.6999999999999993</v>
      </c>
      <c r="U72" s="216">
        <v>9.6</v>
      </c>
      <c r="V72" s="216">
        <v>9.6</v>
      </c>
      <c r="W72" s="216">
        <v>9.5</v>
      </c>
      <c r="X72" s="216">
        <v>9.5</v>
      </c>
    </row>
    <row r="73" spans="1:24" x14ac:dyDescent="0.2">
      <c r="A73" t="s">
        <v>636</v>
      </c>
      <c r="B73" s="125" t="s">
        <v>281</v>
      </c>
      <c r="C73" s="89">
        <f t="shared" si="2"/>
        <v>-2.5981965459269448E-3</v>
      </c>
      <c r="D73" t="s">
        <v>155</v>
      </c>
      <c r="E73" s="89">
        <f t="shared" si="3"/>
        <v>1.9620253164556962E-2</v>
      </c>
      <c r="F73" s="214">
        <v>43620</v>
      </c>
      <c r="G73" s="83">
        <v>5000</v>
      </c>
      <c r="H73" s="83">
        <v>4880</v>
      </c>
      <c r="I73" s="83">
        <v>4720</v>
      </c>
      <c r="J73" s="83">
        <v>4565</v>
      </c>
      <c r="K73" s="83">
        <v>4535</v>
      </c>
      <c r="L73" s="83">
        <v>74338000</v>
      </c>
      <c r="M73" s="103" t="s">
        <v>281</v>
      </c>
      <c r="N73" s="214">
        <v>42759</v>
      </c>
      <c r="O73" s="214">
        <v>43620</v>
      </c>
      <c r="P73" s="216">
        <v>42.6</v>
      </c>
      <c r="Q73" s="216">
        <v>42.5</v>
      </c>
      <c r="R73" s="216">
        <v>42.5</v>
      </c>
      <c r="S73" s="216">
        <v>42.6</v>
      </c>
      <c r="T73" s="216">
        <v>42.6</v>
      </c>
      <c r="U73" s="216">
        <v>42.6</v>
      </c>
      <c r="V73" s="216">
        <v>42.6</v>
      </c>
      <c r="W73" s="216">
        <v>42.6</v>
      </c>
      <c r="X73" s="216">
        <v>42.6</v>
      </c>
    </row>
    <row r="74" spans="1:24" x14ac:dyDescent="0.2">
      <c r="A74" t="s">
        <v>628</v>
      </c>
      <c r="B74" s="125" t="s">
        <v>154</v>
      </c>
      <c r="C74" s="89">
        <f t="shared" si="2"/>
        <v>-4.7113266984472142E-3</v>
      </c>
      <c r="D74" t="s">
        <v>555</v>
      </c>
      <c r="E74" s="89">
        <f t="shared" si="3"/>
        <v>2.8109028960817718E-2</v>
      </c>
      <c r="F74" s="214">
        <v>23914</v>
      </c>
      <c r="G74" s="83">
        <v>2515</v>
      </c>
      <c r="H74" s="83">
        <v>2475</v>
      </c>
      <c r="I74" s="83">
        <v>2345</v>
      </c>
      <c r="J74" s="83">
        <v>2220</v>
      </c>
      <c r="K74" s="83">
        <v>2185</v>
      </c>
      <c r="L74" s="83">
        <v>-10304000</v>
      </c>
      <c r="M74" s="103" t="s">
        <v>154</v>
      </c>
      <c r="N74" s="214">
        <v>23745</v>
      </c>
      <c r="O74" s="214">
        <v>23914</v>
      </c>
      <c r="P74" s="216">
        <v>23.5</v>
      </c>
      <c r="Q74" s="216">
        <v>23.4</v>
      </c>
      <c r="R74" s="216">
        <v>23.3</v>
      </c>
      <c r="S74" s="216">
        <v>23.2</v>
      </c>
      <c r="T74" s="216">
        <v>23.1</v>
      </c>
      <c r="U74" s="216">
        <v>23.1</v>
      </c>
      <c r="V74" s="216">
        <v>23</v>
      </c>
      <c r="W74" s="216">
        <v>23</v>
      </c>
      <c r="X74" s="216">
        <v>22.9</v>
      </c>
    </row>
    <row r="75" spans="1:24" x14ac:dyDescent="0.2">
      <c r="A75" t="s">
        <v>633</v>
      </c>
      <c r="B75" s="125" t="s">
        <v>355</v>
      </c>
      <c r="C75" s="89">
        <f t="shared" si="2"/>
        <v>9.6901751184113316E-3</v>
      </c>
      <c r="D75" t="s">
        <v>155</v>
      </c>
      <c r="E75" s="89">
        <f t="shared" si="3"/>
        <v>2.2501380452788513E-2</v>
      </c>
      <c r="F75" s="214">
        <v>102280</v>
      </c>
      <c r="G75" s="83">
        <v>7665</v>
      </c>
      <c r="H75" s="83">
        <v>7530</v>
      </c>
      <c r="I75" s="83">
        <v>7185</v>
      </c>
      <c r="J75" s="83">
        <v>6990</v>
      </c>
      <c r="K75" s="83">
        <v>6850</v>
      </c>
      <c r="L75" s="83">
        <v>354370000</v>
      </c>
      <c r="M75" s="103" t="s">
        <v>355</v>
      </c>
      <c r="N75" s="214">
        <v>101361</v>
      </c>
      <c r="O75" s="214">
        <v>102280</v>
      </c>
      <c r="P75" s="216">
        <v>104.4</v>
      </c>
      <c r="Q75" s="216">
        <v>105.3</v>
      </c>
      <c r="R75" s="216">
        <v>106.1</v>
      </c>
      <c r="S75" s="216">
        <v>106.7</v>
      </c>
      <c r="T75" s="216">
        <v>107.2</v>
      </c>
      <c r="U75" s="216">
        <v>108</v>
      </c>
      <c r="V75" s="216">
        <v>108.8</v>
      </c>
      <c r="W75" s="216">
        <v>109.9</v>
      </c>
      <c r="X75" s="216">
        <v>111.2</v>
      </c>
    </row>
    <row r="76" spans="1:24" x14ac:dyDescent="0.2">
      <c r="A76" t="s">
        <v>637</v>
      </c>
      <c r="B76" s="125" t="s">
        <v>160</v>
      </c>
      <c r="C76" s="89">
        <f t="shared" si="2"/>
        <v>-1.3292597952511122E-2</v>
      </c>
      <c r="D76" t="s">
        <v>526</v>
      </c>
      <c r="E76" s="89">
        <f t="shared" si="3"/>
        <v>6.5019505851755524E-3</v>
      </c>
      <c r="F76" s="214">
        <v>24876</v>
      </c>
      <c r="G76" s="83">
        <v>1590</v>
      </c>
      <c r="H76" s="83">
        <v>1565</v>
      </c>
      <c r="I76" s="83">
        <v>1510</v>
      </c>
      <c r="J76" s="83">
        <v>1485</v>
      </c>
      <c r="K76" s="83">
        <v>1540</v>
      </c>
      <c r="L76" s="83">
        <v>77110000</v>
      </c>
      <c r="M76" s="103" t="s">
        <v>160</v>
      </c>
      <c r="N76" s="214">
        <v>24961</v>
      </c>
      <c r="O76" s="214">
        <v>24876</v>
      </c>
      <c r="P76" s="216">
        <v>24.7</v>
      </c>
      <c r="Q76" s="216">
        <v>24.4</v>
      </c>
      <c r="R76" s="216">
        <v>24</v>
      </c>
      <c r="S76" s="216">
        <v>23.7</v>
      </c>
      <c r="T76" s="216">
        <v>23.3</v>
      </c>
      <c r="U76" s="216">
        <v>23</v>
      </c>
      <c r="V76" s="216">
        <v>22.6</v>
      </c>
      <c r="W76" s="216">
        <v>22.3</v>
      </c>
      <c r="X76" s="216">
        <v>21.9</v>
      </c>
    </row>
    <row r="77" spans="1:24" x14ac:dyDescent="0.2">
      <c r="A77" t="s">
        <v>630</v>
      </c>
      <c r="B77" s="125" t="s">
        <v>310</v>
      </c>
      <c r="C77" s="89">
        <f t="shared" si="2"/>
        <v>-4.706510606585927E-3</v>
      </c>
      <c r="D77" t="s">
        <v>526</v>
      </c>
      <c r="E77" s="89">
        <f t="shared" si="3"/>
        <v>1.2982329606923909E-2</v>
      </c>
      <c r="F77" s="214">
        <v>55762</v>
      </c>
      <c r="G77" s="83">
        <v>2875</v>
      </c>
      <c r="H77" s="83">
        <v>2825</v>
      </c>
      <c r="I77" s="83">
        <v>2765</v>
      </c>
      <c r="J77" s="83">
        <v>2705</v>
      </c>
      <c r="K77" s="83">
        <v>2695</v>
      </c>
      <c r="L77" s="83">
        <v>32433000</v>
      </c>
      <c r="M77" s="103" t="s">
        <v>310</v>
      </c>
      <c r="N77" s="214">
        <v>56030</v>
      </c>
      <c r="O77" s="214">
        <v>55762</v>
      </c>
      <c r="P77" s="216">
        <v>55.8</v>
      </c>
      <c r="Q77" s="216">
        <v>55.4</v>
      </c>
      <c r="R77" s="216">
        <v>55</v>
      </c>
      <c r="S77" s="216">
        <v>54.8</v>
      </c>
      <c r="T77" s="216">
        <v>54.5</v>
      </c>
      <c r="U77" s="216">
        <v>54.3</v>
      </c>
      <c r="V77" s="216">
        <v>54</v>
      </c>
      <c r="W77" s="216">
        <v>53.7</v>
      </c>
      <c r="X77" s="216">
        <v>53.4</v>
      </c>
    </row>
    <row r="78" spans="1:24" x14ac:dyDescent="0.2">
      <c r="A78" t="s">
        <v>629</v>
      </c>
      <c r="B78" s="125" t="s">
        <v>431</v>
      </c>
      <c r="C78" s="89">
        <f t="shared" si="2"/>
        <v>2.9731037820645788E-3</v>
      </c>
      <c r="D78" t="s">
        <v>155</v>
      </c>
      <c r="E78" s="89">
        <f t="shared" si="3"/>
        <v>1.5269765863590091E-2</v>
      </c>
      <c r="F78" s="214">
        <v>32140</v>
      </c>
      <c r="G78" s="83">
        <v>3070</v>
      </c>
      <c r="H78" s="83">
        <v>3035</v>
      </c>
      <c r="I78" s="83">
        <v>2930</v>
      </c>
      <c r="J78" s="83">
        <v>2855</v>
      </c>
      <c r="K78" s="83">
        <v>2845</v>
      </c>
      <c r="L78" s="83">
        <v>81786000</v>
      </c>
      <c r="M78" s="103" t="s">
        <v>431</v>
      </c>
      <c r="N78" s="214">
        <v>31928</v>
      </c>
      <c r="O78" s="214">
        <v>32140</v>
      </c>
      <c r="P78" s="216">
        <v>32.1</v>
      </c>
      <c r="Q78" s="216">
        <v>32.200000000000003</v>
      </c>
      <c r="R78" s="216">
        <v>32.4</v>
      </c>
      <c r="S78" s="216">
        <v>32.5</v>
      </c>
      <c r="T78" s="216">
        <v>32.6</v>
      </c>
      <c r="U78" s="216">
        <v>32.700000000000003</v>
      </c>
      <c r="V78" s="216">
        <v>32.9</v>
      </c>
      <c r="W78" s="216">
        <v>33</v>
      </c>
      <c r="X78" s="216">
        <v>33</v>
      </c>
    </row>
    <row r="79" spans="1:24" x14ac:dyDescent="0.2">
      <c r="A79" t="s">
        <v>634</v>
      </c>
      <c r="B79" s="125" t="s">
        <v>202</v>
      </c>
      <c r="C79" s="89">
        <f t="shared" si="2"/>
        <v>1.5561467797801315E-3</v>
      </c>
      <c r="D79" t="s">
        <v>526</v>
      </c>
      <c r="E79" s="89">
        <f t="shared" si="3"/>
        <v>2.4131842260153032E-2</v>
      </c>
      <c r="F79" s="214">
        <v>99605</v>
      </c>
      <c r="G79" s="83">
        <v>7240</v>
      </c>
      <c r="H79" s="83">
        <v>7045</v>
      </c>
      <c r="I79" s="83">
        <v>6790</v>
      </c>
      <c r="J79" s="83">
        <v>6485</v>
      </c>
      <c r="K79" s="83">
        <v>6420</v>
      </c>
      <c r="L79" s="83">
        <v>171413000</v>
      </c>
      <c r="M79" s="103" t="s">
        <v>202</v>
      </c>
      <c r="N79" s="214">
        <v>99328</v>
      </c>
      <c r="O79" s="214">
        <v>99605</v>
      </c>
      <c r="P79" s="216">
        <v>99.6</v>
      </c>
      <c r="Q79" s="216">
        <v>99.6</v>
      </c>
      <c r="R79" s="216">
        <v>100</v>
      </c>
      <c r="S79" s="216">
        <v>100.3</v>
      </c>
      <c r="T79" s="216">
        <v>100.5</v>
      </c>
      <c r="U79" s="216">
        <v>100.6</v>
      </c>
      <c r="V79" s="216">
        <v>100.8</v>
      </c>
      <c r="W79" s="216">
        <v>100.9</v>
      </c>
      <c r="X79" s="216">
        <v>101</v>
      </c>
    </row>
    <row r="80" spans="1:24" x14ac:dyDescent="0.2">
      <c r="A80" t="s">
        <v>630</v>
      </c>
      <c r="B80" s="125" t="s">
        <v>311</v>
      </c>
      <c r="C80" s="89">
        <f t="shared" si="2"/>
        <v>2.1107637902181803E-2</v>
      </c>
      <c r="D80" t="s">
        <v>526</v>
      </c>
      <c r="E80" s="89">
        <f t="shared" si="3"/>
        <v>3.0904059040590407E-2</v>
      </c>
      <c r="F80" s="214">
        <v>28152</v>
      </c>
      <c r="G80" s="83">
        <v>2305</v>
      </c>
      <c r="H80" s="83">
        <v>2315</v>
      </c>
      <c r="I80" s="83">
        <v>2210</v>
      </c>
      <c r="J80" s="83">
        <v>2040</v>
      </c>
      <c r="K80" s="83">
        <v>1970</v>
      </c>
      <c r="L80" s="83">
        <v>74917000</v>
      </c>
      <c r="M80" s="103" t="s">
        <v>311</v>
      </c>
      <c r="N80" s="214">
        <v>27225</v>
      </c>
      <c r="O80" s="214">
        <v>28152</v>
      </c>
      <c r="P80" s="216">
        <v>28.1</v>
      </c>
      <c r="Q80" s="216">
        <v>28.7</v>
      </c>
      <c r="R80" s="216">
        <v>29.3</v>
      </c>
      <c r="S80" s="216">
        <v>30</v>
      </c>
      <c r="T80" s="216">
        <v>30.8</v>
      </c>
      <c r="U80" s="216">
        <v>31.5</v>
      </c>
      <c r="V80" s="216">
        <v>32.1</v>
      </c>
      <c r="W80" s="216">
        <v>32.799999999999997</v>
      </c>
      <c r="X80" s="216">
        <v>33.5</v>
      </c>
    </row>
    <row r="81" spans="1:24" x14ac:dyDescent="0.2">
      <c r="A81" t="s">
        <v>634</v>
      </c>
      <c r="B81" s="125" t="s">
        <v>203</v>
      </c>
      <c r="C81" s="89">
        <f t="shared" si="2"/>
        <v>-4.2003667925931557E-3</v>
      </c>
      <c r="D81" t="s">
        <v>555</v>
      </c>
      <c r="E81" s="89">
        <f t="shared" si="3"/>
        <v>2.2508038585209004E-2</v>
      </c>
      <c r="F81" s="214">
        <v>26294</v>
      </c>
      <c r="G81" s="83">
        <v>2630</v>
      </c>
      <c r="H81" s="83">
        <v>2590</v>
      </c>
      <c r="I81" s="83">
        <v>2470</v>
      </c>
      <c r="J81" s="83">
        <v>2400</v>
      </c>
      <c r="K81" s="83">
        <v>2350</v>
      </c>
      <c r="L81" s="83">
        <v>21211000</v>
      </c>
      <c r="M81" s="103" t="s">
        <v>203</v>
      </c>
      <c r="N81" s="214">
        <v>26243</v>
      </c>
      <c r="O81" s="214">
        <v>26294</v>
      </c>
      <c r="P81" s="216">
        <v>26.2</v>
      </c>
      <c r="Q81" s="216">
        <v>26.2</v>
      </c>
      <c r="R81" s="216">
        <v>26</v>
      </c>
      <c r="S81" s="216">
        <v>25.9</v>
      </c>
      <c r="T81" s="216">
        <v>25.8</v>
      </c>
      <c r="U81" s="216">
        <v>25.7</v>
      </c>
      <c r="V81" s="216">
        <v>25.5</v>
      </c>
      <c r="W81" s="216">
        <v>25.4</v>
      </c>
      <c r="X81" s="216">
        <v>25.3</v>
      </c>
    </row>
    <row r="82" spans="1:24" x14ac:dyDescent="0.2">
      <c r="A82" t="s">
        <v>631</v>
      </c>
      <c r="B82" s="125" t="s">
        <v>233</v>
      </c>
      <c r="C82" s="89">
        <f t="shared" si="2"/>
        <v>4.6500676908587911E-3</v>
      </c>
      <c r="D82" t="s">
        <v>526</v>
      </c>
      <c r="E82" s="89">
        <f t="shared" si="3"/>
        <v>1.3495276653171391E-2</v>
      </c>
      <c r="F82" s="214">
        <v>11326</v>
      </c>
      <c r="G82" s="83">
        <v>765</v>
      </c>
      <c r="H82" s="83">
        <v>765</v>
      </c>
      <c r="I82" s="83">
        <v>755</v>
      </c>
      <c r="J82" s="83">
        <v>705</v>
      </c>
      <c r="K82" s="83">
        <v>715</v>
      </c>
      <c r="L82" s="83">
        <v>-14067000</v>
      </c>
      <c r="M82" s="103" t="s">
        <v>233</v>
      </c>
      <c r="N82" s="214">
        <v>11345</v>
      </c>
      <c r="O82" s="214">
        <v>11326</v>
      </c>
      <c r="P82" s="216">
        <v>11.8</v>
      </c>
      <c r="Q82" s="216">
        <v>11.9</v>
      </c>
      <c r="R82" s="216">
        <v>11.9</v>
      </c>
      <c r="S82" s="216">
        <v>11.8</v>
      </c>
      <c r="T82" s="216">
        <v>11.8</v>
      </c>
      <c r="U82" s="216">
        <v>11.8</v>
      </c>
      <c r="V82" s="216">
        <v>11.8</v>
      </c>
      <c r="W82" s="216">
        <v>11.8</v>
      </c>
      <c r="X82" s="216">
        <v>11.8</v>
      </c>
    </row>
    <row r="83" spans="1:24" x14ac:dyDescent="0.2">
      <c r="A83" t="s">
        <v>631</v>
      </c>
      <c r="B83" s="125" t="s">
        <v>234</v>
      </c>
      <c r="C83" s="89">
        <f t="shared" si="2"/>
        <v>-3.2475265931180323E-3</v>
      </c>
      <c r="D83" t="s">
        <v>155</v>
      </c>
      <c r="E83" s="89">
        <f t="shared" si="3"/>
        <v>2.0944741532976829E-2</v>
      </c>
      <c r="F83" s="214">
        <v>57377</v>
      </c>
      <c r="G83" s="83">
        <v>4745</v>
      </c>
      <c r="H83" s="83">
        <v>4600</v>
      </c>
      <c r="I83" s="83">
        <v>4530</v>
      </c>
      <c r="J83" s="83">
        <v>4290</v>
      </c>
      <c r="K83" s="83">
        <v>4275</v>
      </c>
      <c r="L83" s="83">
        <v>133930000</v>
      </c>
      <c r="M83" s="103" t="s">
        <v>234</v>
      </c>
      <c r="N83" s="214">
        <v>57065</v>
      </c>
      <c r="O83" s="214">
        <v>57377</v>
      </c>
      <c r="P83" s="216">
        <v>56.8</v>
      </c>
      <c r="Q83" s="216">
        <v>56.7</v>
      </c>
      <c r="R83" s="216">
        <v>56.6</v>
      </c>
      <c r="S83" s="216">
        <v>56.4</v>
      </c>
      <c r="T83" s="216">
        <v>56.3</v>
      </c>
      <c r="U83" s="216">
        <v>56.1</v>
      </c>
      <c r="V83" s="216">
        <v>55.9</v>
      </c>
      <c r="W83" s="216">
        <v>55.8</v>
      </c>
      <c r="X83" s="216">
        <v>55.7</v>
      </c>
    </row>
    <row r="84" spans="1:24" x14ac:dyDescent="0.2">
      <c r="A84" t="s">
        <v>629</v>
      </c>
      <c r="B84" s="125" t="s">
        <v>432</v>
      </c>
      <c r="C84" s="89">
        <f t="shared" si="2"/>
        <v>1.4097440473880936E-3</v>
      </c>
      <c r="D84" t="s">
        <v>555</v>
      </c>
      <c r="E84" s="89">
        <f t="shared" si="3"/>
        <v>2.2908366533864542E-2</v>
      </c>
      <c r="F84" s="214">
        <v>25773</v>
      </c>
      <c r="G84" s="83">
        <v>2140</v>
      </c>
      <c r="H84" s="83">
        <v>2065</v>
      </c>
      <c r="I84" s="83">
        <v>1990</v>
      </c>
      <c r="J84" s="83">
        <v>1935</v>
      </c>
      <c r="K84" s="83">
        <v>1910</v>
      </c>
      <c r="L84" s="83">
        <v>37305000</v>
      </c>
      <c r="M84" s="103" t="s">
        <v>432</v>
      </c>
      <c r="N84" s="214">
        <v>25511</v>
      </c>
      <c r="O84" s="214">
        <v>25773</v>
      </c>
      <c r="P84" s="216">
        <v>25.5</v>
      </c>
      <c r="Q84" s="216">
        <v>25.6</v>
      </c>
      <c r="R84" s="216">
        <v>25.8</v>
      </c>
      <c r="S84" s="216">
        <v>25.8</v>
      </c>
      <c r="T84" s="216">
        <v>25.9</v>
      </c>
      <c r="U84" s="216">
        <v>26</v>
      </c>
      <c r="V84" s="216">
        <v>26</v>
      </c>
      <c r="W84" s="216">
        <v>26.1</v>
      </c>
      <c r="X84" s="216">
        <v>26.1</v>
      </c>
    </row>
    <row r="85" spans="1:24" x14ac:dyDescent="0.2">
      <c r="A85" t="s">
        <v>632</v>
      </c>
      <c r="B85" s="125" t="s">
        <v>182</v>
      </c>
      <c r="C85" s="89">
        <f t="shared" si="2"/>
        <v>-2.7419271964611858E-3</v>
      </c>
      <c r="D85" t="s">
        <v>155</v>
      </c>
      <c r="E85" s="89">
        <f t="shared" si="3"/>
        <v>1.6713091922005572E-2</v>
      </c>
      <c r="F85" s="214">
        <v>23787</v>
      </c>
      <c r="G85" s="83">
        <v>1870</v>
      </c>
      <c r="H85" s="83">
        <v>1835</v>
      </c>
      <c r="I85" s="83">
        <v>1805</v>
      </c>
      <c r="J85" s="83">
        <v>1745</v>
      </c>
      <c r="K85" s="83">
        <v>1720</v>
      </c>
      <c r="L85" s="83">
        <v>49874000</v>
      </c>
      <c r="M85" s="103" t="s">
        <v>182</v>
      </c>
      <c r="N85" s="214">
        <v>23904</v>
      </c>
      <c r="O85" s="214">
        <v>23787</v>
      </c>
      <c r="P85" s="216">
        <v>23.8</v>
      </c>
      <c r="Q85" s="216">
        <v>23.7</v>
      </c>
      <c r="R85" s="216">
        <v>23.6</v>
      </c>
      <c r="S85" s="216">
        <v>23.5</v>
      </c>
      <c r="T85" s="216">
        <v>23.5</v>
      </c>
      <c r="U85" s="216">
        <v>23.4</v>
      </c>
      <c r="V85" s="216">
        <v>23.3</v>
      </c>
      <c r="W85" s="216">
        <v>23.3</v>
      </c>
      <c r="X85" s="216">
        <v>23.2</v>
      </c>
    </row>
    <row r="86" spans="1:24" x14ac:dyDescent="0.2">
      <c r="A86" t="s">
        <v>633</v>
      </c>
      <c r="B86" s="125" t="s">
        <v>356</v>
      </c>
      <c r="C86" s="89">
        <f t="shared" si="2"/>
        <v>3.9711347090679557E-3</v>
      </c>
      <c r="D86" t="s">
        <v>526</v>
      </c>
      <c r="E86" s="89">
        <f t="shared" si="3"/>
        <v>1.9710282593208263E-2</v>
      </c>
      <c r="F86" s="214">
        <v>118466</v>
      </c>
      <c r="G86" s="83">
        <v>8795</v>
      </c>
      <c r="H86" s="83">
        <v>8805</v>
      </c>
      <c r="I86" s="83">
        <v>8435</v>
      </c>
      <c r="J86" s="83">
        <v>8110</v>
      </c>
      <c r="K86" s="83">
        <v>7965</v>
      </c>
      <c r="L86" s="83">
        <v>125849000</v>
      </c>
      <c r="M86" s="103" t="s">
        <v>356</v>
      </c>
      <c r="N86" s="214">
        <v>118624</v>
      </c>
      <c r="O86" s="214">
        <v>118466</v>
      </c>
      <c r="P86" s="216">
        <v>120.1</v>
      </c>
      <c r="Q86" s="216">
        <v>120.5</v>
      </c>
      <c r="R86" s="216">
        <v>120.9</v>
      </c>
      <c r="S86" s="216">
        <v>121.2</v>
      </c>
      <c r="T86" s="216">
        <v>121.5</v>
      </c>
      <c r="U86" s="216">
        <v>121.8</v>
      </c>
      <c r="V86" s="216">
        <v>122.1</v>
      </c>
      <c r="W86" s="216">
        <v>122.5</v>
      </c>
      <c r="X86" s="216">
        <v>122.7</v>
      </c>
    </row>
    <row r="87" spans="1:24" x14ac:dyDescent="0.2">
      <c r="A87" t="s">
        <v>630</v>
      </c>
      <c r="B87" s="125" t="s">
        <v>312</v>
      </c>
      <c r="C87" s="89">
        <f t="shared" si="2"/>
        <v>7.754861789732951E-3</v>
      </c>
      <c r="D87" t="s">
        <v>555</v>
      </c>
      <c r="E87" s="89">
        <f t="shared" si="3"/>
        <v>1.680672268907563E-2</v>
      </c>
      <c r="F87" s="214">
        <v>19443</v>
      </c>
      <c r="G87" s="83">
        <v>1870</v>
      </c>
      <c r="H87" s="83">
        <v>1840</v>
      </c>
      <c r="I87" s="83">
        <v>1770</v>
      </c>
      <c r="J87" s="83">
        <v>1725</v>
      </c>
      <c r="K87" s="83">
        <v>1720</v>
      </c>
      <c r="L87" s="83">
        <v>-4888000</v>
      </c>
      <c r="M87" s="103" t="s">
        <v>312</v>
      </c>
      <c r="N87" s="214">
        <v>19383</v>
      </c>
      <c r="O87" s="214">
        <v>19443</v>
      </c>
      <c r="P87" s="216">
        <v>20.100000000000001</v>
      </c>
      <c r="Q87" s="216">
        <v>20.3</v>
      </c>
      <c r="R87" s="216">
        <v>20.399999999999999</v>
      </c>
      <c r="S87" s="216">
        <v>20.5</v>
      </c>
      <c r="T87" s="216">
        <v>20.6</v>
      </c>
      <c r="U87" s="216">
        <v>20.6</v>
      </c>
      <c r="V87" s="216">
        <v>20.7</v>
      </c>
      <c r="W87" s="216">
        <v>20.8</v>
      </c>
      <c r="X87" s="216">
        <v>20.8</v>
      </c>
    </row>
    <row r="88" spans="1:24" x14ac:dyDescent="0.2">
      <c r="A88" t="s">
        <v>629</v>
      </c>
      <c r="B88" s="125" t="s">
        <v>433</v>
      </c>
      <c r="C88" s="89">
        <f t="shared" si="2"/>
        <v>-2.7260485433704467E-3</v>
      </c>
      <c r="D88" t="s">
        <v>555</v>
      </c>
      <c r="E88" s="89">
        <f t="shared" si="3"/>
        <v>2.0442219440967878E-2</v>
      </c>
      <c r="F88" s="214">
        <v>27064</v>
      </c>
      <c r="G88" s="83">
        <v>2525</v>
      </c>
      <c r="H88" s="83">
        <v>2480</v>
      </c>
      <c r="I88" s="83">
        <v>2405</v>
      </c>
      <c r="J88" s="83">
        <v>2295</v>
      </c>
      <c r="K88" s="83">
        <v>2280</v>
      </c>
      <c r="L88" s="83">
        <v>-978000</v>
      </c>
      <c r="M88" s="103" t="s">
        <v>433</v>
      </c>
      <c r="N88" s="214">
        <v>26863</v>
      </c>
      <c r="O88" s="214">
        <v>27064</v>
      </c>
      <c r="P88" s="216">
        <v>26.8</v>
      </c>
      <c r="Q88" s="216">
        <v>26.8</v>
      </c>
      <c r="R88" s="216">
        <v>26.8</v>
      </c>
      <c r="S88" s="216">
        <v>26.8</v>
      </c>
      <c r="T88" s="216">
        <v>26.8</v>
      </c>
      <c r="U88" s="216">
        <v>26.7</v>
      </c>
      <c r="V88" s="216">
        <v>26.7</v>
      </c>
      <c r="W88" s="216">
        <v>26.6</v>
      </c>
      <c r="X88" s="216">
        <v>26.4</v>
      </c>
    </row>
    <row r="89" spans="1:24" x14ac:dyDescent="0.2">
      <c r="A89" t="s">
        <v>635</v>
      </c>
      <c r="B89" s="125" t="s">
        <v>512</v>
      </c>
      <c r="C89" s="89">
        <f t="shared" si="2"/>
        <v>8.811593254892983E-3</v>
      </c>
      <c r="D89" t="s">
        <v>555</v>
      </c>
      <c r="E89" s="89">
        <f t="shared" si="3"/>
        <v>2.0916905444126076E-2</v>
      </c>
      <c r="F89" s="214">
        <v>40767</v>
      </c>
      <c r="G89" s="83">
        <v>3670</v>
      </c>
      <c r="H89" s="83">
        <v>3605</v>
      </c>
      <c r="I89" s="83">
        <v>3480</v>
      </c>
      <c r="J89" s="83">
        <v>3390</v>
      </c>
      <c r="K89" s="83">
        <v>3305</v>
      </c>
      <c r="L89" s="83">
        <v>-28724000</v>
      </c>
      <c r="M89" s="103" t="s">
        <v>512</v>
      </c>
      <c r="N89" s="214">
        <v>40745</v>
      </c>
      <c r="O89" s="214">
        <v>40767</v>
      </c>
      <c r="P89" s="216">
        <v>42.1</v>
      </c>
      <c r="Q89" s="216">
        <v>42.5</v>
      </c>
      <c r="R89" s="216">
        <v>42.8</v>
      </c>
      <c r="S89" s="216">
        <v>43</v>
      </c>
      <c r="T89" s="216">
        <v>43.3</v>
      </c>
      <c r="U89" s="216">
        <v>43.5</v>
      </c>
      <c r="V89" s="216">
        <v>43.7</v>
      </c>
      <c r="W89" s="216">
        <v>43.9</v>
      </c>
      <c r="X89" s="216">
        <v>44</v>
      </c>
    </row>
    <row r="90" spans="1:24" x14ac:dyDescent="0.2">
      <c r="A90" t="s">
        <v>631</v>
      </c>
      <c r="B90" s="125" t="s">
        <v>235</v>
      </c>
      <c r="C90" s="89">
        <f t="shared" si="2"/>
        <v>-5.3815175166613211E-3</v>
      </c>
      <c r="D90" t="s">
        <v>155</v>
      </c>
      <c r="E90" s="89">
        <f t="shared" si="3"/>
        <v>2.3176550783912748E-2</v>
      </c>
      <c r="F90" s="214">
        <v>18706</v>
      </c>
      <c r="G90" s="83">
        <v>1545</v>
      </c>
      <c r="H90" s="83">
        <v>1520</v>
      </c>
      <c r="I90" s="83">
        <v>1480</v>
      </c>
      <c r="J90" s="83">
        <v>1415</v>
      </c>
      <c r="K90" s="83">
        <v>1375</v>
      </c>
      <c r="L90" s="83">
        <v>35787000</v>
      </c>
      <c r="M90" s="103" t="s">
        <v>235</v>
      </c>
      <c r="N90" s="214">
        <v>18561</v>
      </c>
      <c r="O90" s="214">
        <v>18706</v>
      </c>
      <c r="P90" s="216">
        <v>18.2</v>
      </c>
      <c r="Q90" s="216">
        <v>18.100000000000001</v>
      </c>
      <c r="R90" s="216">
        <v>18.100000000000001</v>
      </c>
      <c r="S90" s="216">
        <v>18.100000000000001</v>
      </c>
      <c r="T90" s="216">
        <v>18.100000000000001</v>
      </c>
      <c r="U90" s="216">
        <v>18</v>
      </c>
      <c r="V90" s="216">
        <v>17.899999999999999</v>
      </c>
      <c r="W90" s="216">
        <v>17.899999999999999</v>
      </c>
      <c r="X90" s="216">
        <v>17.8</v>
      </c>
    </row>
    <row r="91" spans="1:24" x14ac:dyDescent="0.2">
      <c r="A91" t="s">
        <v>631</v>
      </c>
      <c r="B91" s="125" t="s">
        <v>236</v>
      </c>
      <c r="C91" s="89">
        <f t="shared" si="2"/>
        <v>-1.5108246657409589E-3</v>
      </c>
      <c r="D91" t="s">
        <v>555</v>
      </c>
      <c r="E91" s="89">
        <f t="shared" si="3"/>
        <v>1.4230979748221127E-2</v>
      </c>
      <c r="F91" s="214">
        <v>25446</v>
      </c>
      <c r="G91" s="83">
        <v>1905</v>
      </c>
      <c r="H91" s="83">
        <v>1865</v>
      </c>
      <c r="I91" s="83">
        <v>1840</v>
      </c>
      <c r="J91" s="83">
        <v>1750</v>
      </c>
      <c r="K91" s="83">
        <v>1775</v>
      </c>
      <c r="L91" s="83">
        <v>24758000</v>
      </c>
      <c r="M91" s="103" t="s">
        <v>236</v>
      </c>
      <c r="N91" s="214">
        <v>25399</v>
      </c>
      <c r="O91" s="214">
        <v>25446</v>
      </c>
      <c r="P91" s="216">
        <v>25.9</v>
      </c>
      <c r="Q91" s="216">
        <v>25.8</v>
      </c>
      <c r="R91" s="216">
        <v>25.6</v>
      </c>
      <c r="S91" s="216">
        <v>25.5</v>
      </c>
      <c r="T91" s="216">
        <v>25.4</v>
      </c>
      <c r="U91" s="216">
        <v>25.3</v>
      </c>
      <c r="V91" s="216">
        <v>25.2</v>
      </c>
      <c r="W91" s="216">
        <v>25.2</v>
      </c>
      <c r="X91" s="216">
        <v>25.1</v>
      </c>
    </row>
    <row r="92" spans="1:24" x14ac:dyDescent="0.2">
      <c r="A92" t="s">
        <v>638</v>
      </c>
      <c r="B92" s="125" t="s">
        <v>482</v>
      </c>
      <c r="C92" s="89">
        <f t="shared" si="2"/>
        <v>-5.4931021332129749E-4</v>
      </c>
      <c r="D92" t="s">
        <v>155</v>
      </c>
      <c r="E92" s="89">
        <f t="shared" si="3"/>
        <v>1.6431924882629109E-2</v>
      </c>
      <c r="F92" s="214">
        <v>31757</v>
      </c>
      <c r="G92" s="83">
        <v>2680</v>
      </c>
      <c r="H92" s="83">
        <v>2625</v>
      </c>
      <c r="I92" s="83">
        <v>2510</v>
      </c>
      <c r="J92" s="83">
        <v>2495</v>
      </c>
      <c r="K92" s="83">
        <v>2470</v>
      </c>
      <c r="L92" s="83">
        <v>35369000</v>
      </c>
      <c r="M92" s="103" t="s">
        <v>482</v>
      </c>
      <c r="N92" s="214">
        <v>31826</v>
      </c>
      <c r="O92" s="214">
        <v>31757</v>
      </c>
      <c r="P92" s="216">
        <v>32.200000000000003</v>
      </c>
      <c r="Q92" s="216">
        <v>32</v>
      </c>
      <c r="R92" s="216">
        <v>31.8</v>
      </c>
      <c r="S92" s="216">
        <v>31.7</v>
      </c>
      <c r="T92" s="216">
        <v>31.7</v>
      </c>
      <c r="U92" s="216">
        <v>31.7</v>
      </c>
      <c r="V92" s="216">
        <v>31.7</v>
      </c>
      <c r="W92" s="216">
        <v>31.7</v>
      </c>
      <c r="X92" s="216">
        <v>31.6</v>
      </c>
    </row>
    <row r="93" spans="1:24" x14ac:dyDescent="0.2">
      <c r="A93" t="s">
        <v>630</v>
      </c>
      <c r="B93" s="125" t="s">
        <v>313</v>
      </c>
      <c r="C93" s="89">
        <f t="shared" si="2"/>
        <v>4.1532243111951648E-3</v>
      </c>
      <c r="D93" t="s">
        <v>555</v>
      </c>
      <c r="E93" s="89">
        <f t="shared" si="3"/>
        <v>2.1919272921678695E-2</v>
      </c>
      <c r="F93" s="214">
        <v>35956</v>
      </c>
      <c r="G93" s="83">
        <v>3970</v>
      </c>
      <c r="H93" s="83">
        <v>3870</v>
      </c>
      <c r="I93" s="83">
        <v>3715</v>
      </c>
      <c r="J93" s="83">
        <v>3590</v>
      </c>
      <c r="K93" s="83">
        <v>3560</v>
      </c>
      <c r="L93" s="83">
        <v>7007000</v>
      </c>
      <c r="M93" s="103" t="s">
        <v>313</v>
      </c>
      <c r="N93" s="214">
        <v>35802</v>
      </c>
      <c r="O93" s="214">
        <v>35956</v>
      </c>
      <c r="P93" s="216">
        <v>35.799999999999997</v>
      </c>
      <c r="Q93" s="216">
        <v>36.1</v>
      </c>
      <c r="R93" s="217">
        <v>36.200000000000003</v>
      </c>
      <c r="S93" s="216">
        <v>36.5</v>
      </c>
      <c r="T93" s="216">
        <v>36.700000000000003</v>
      </c>
      <c r="U93" s="216">
        <v>36.799999999999997</v>
      </c>
      <c r="V93" s="216">
        <v>37</v>
      </c>
      <c r="W93" s="216">
        <v>37.1</v>
      </c>
      <c r="X93" s="216">
        <v>37.299999999999997</v>
      </c>
    </row>
    <row r="94" spans="1:24" x14ac:dyDescent="0.2">
      <c r="A94" t="s">
        <v>631</v>
      </c>
      <c r="B94" s="125" t="s">
        <v>237</v>
      </c>
      <c r="C94" s="89">
        <f t="shared" si="2"/>
        <v>4.0520366815952231E-3</v>
      </c>
      <c r="D94" t="s">
        <v>155</v>
      </c>
      <c r="E94" s="89">
        <f t="shared" si="3"/>
        <v>2.7177844373256176E-2</v>
      </c>
      <c r="F94" s="214">
        <v>114620</v>
      </c>
      <c r="G94" s="83">
        <v>10335</v>
      </c>
      <c r="H94" s="83">
        <v>10100</v>
      </c>
      <c r="I94" s="83">
        <v>9685</v>
      </c>
      <c r="J94" s="83">
        <v>9245</v>
      </c>
      <c r="K94" s="83">
        <v>9020</v>
      </c>
      <c r="L94" s="83">
        <v>201411000</v>
      </c>
      <c r="M94" s="103" t="s">
        <v>237</v>
      </c>
      <c r="N94" s="214">
        <v>113448</v>
      </c>
      <c r="O94" s="214">
        <v>114620</v>
      </c>
      <c r="P94" s="216">
        <v>114.2</v>
      </c>
      <c r="Q94" s="216">
        <v>114.6</v>
      </c>
      <c r="R94" s="216">
        <v>114.9</v>
      </c>
      <c r="S94" s="216">
        <v>115.4</v>
      </c>
      <c r="T94" s="216">
        <v>116</v>
      </c>
      <c r="U94" s="216">
        <v>116.7</v>
      </c>
      <c r="V94" s="216">
        <v>117.3</v>
      </c>
      <c r="W94" s="216">
        <v>118</v>
      </c>
      <c r="X94" s="216">
        <v>118.8</v>
      </c>
    </row>
    <row r="95" spans="1:24" x14ac:dyDescent="0.2">
      <c r="A95" t="s">
        <v>636</v>
      </c>
      <c r="B95" s="125" t="s">
        <v>282</v>
      </c>
      <c r="C95" s="89">
        <f t="shared" si="2"/>
        <v>-2.5732021122208807E-3</v>
      </c>
      <c r="D95" t="s">
        <v>555</v>
      </c>
      <c r="E95" s="89">
        <f t="shared" si="3"/>
        <v>1.8399264029438821E-2</v>
      </c>
      <c r="F95" s="214">
        <v>9111</v>
      </c>
      <c r="G95" s="83">
        <v>1125</v>
      </c>
      <c r="H95" s="83">
        <v>1130</v>
      </c>
      <c r="I95" s="83">
        <v>1090</v>
      </c>
      <c r="J95" s="83">
        <v>1065</v>
      </c>
      <c r="K95" s="83">
        <v>1025</v>
      </c>
      <c r="L95" s="83">
        <v>-235000</v>
      </c>
      <c r="M95" s="103" t="s">
        <v>282</v>
      </c>
      <c r="N95" s="214">
        <v>9000</v>
      </c>
      <c r="O95" s="214">
        <v>9111</v>
      </c>
      <c r="P95" s="216">
        <v>9</v>
      </c>
      <c r="Q95" s="216">
        <v>9</v>
      </c>
      <c r="R95" s="216">
        <v>9</v>
      </c>
      <c r="S95" s="216">
        <v>9</v>
      </c>
      <c r="T95" s="216">
        <v>9</v>
      </c>
      <c r="U95" s="216">
        <v>8.9</v>
      </c>
      <c r="V95" s="216">
        <v>8.9</v>
      </c>
      <c r="W95" s="216">
        <v>8.9</v>
      </c>
      <c r="X95" s="216">
        <v>8.9</v>
      </c>
    </row>
    <row r="96" spans="1:24" x14ac:dyDescent="0.2">
      <c r="A96" t="s">
        <v>637</v>
      </c>
      <c r="B96" s="125" t="s">
        <v>161</v>
      </c>
      <c r="C96" s="89">
        <f t="shared" si="2"/>
        <v>-3.2709145705674819E-3</v>
      </c>
      <c r="D96" t="s">
        <v>155</v>
      </c>
      <c r="E96" s="89">
        <f t="shared" si="3"/>
        <v>1.1447260834014717E-2</v>
      </c>
      <c r="F96" s="214">
        <v>15558</v>
      </c>
      <c r="G96" s="83">
        <v>1260</v>
      </c>
      <c r="H96" s="83">
        <v>1265</v>
      </c>
      <c r="I96" s="83">
        <v>1220</v>
      </c>
      <c r="J96" s="83">
        <v>1180</v>
      </c>
      <c r="K96" s="83">
        <v>1190</v>
      </c>
      <c r="L96" s="83">
        <v>32040000</v>
      </c>
      <c r="M96" s="103" t="s">
        <v>161</v>
      </c>
      <c r="N96" s="214">
        <v>15656</v>
      </c>
      <c r="O96" s="214">
        <v>15558</v>
      </c>
      <c r="P96" s="216">
        <v>15.5</v>
      </c>
      <c r="Q96" s="216">
        <v>15.5</v>
      </c>
      <c r="R96" s="217">
        <v>15.5</v>
      </c>
      <c r="S96" s="216">
        <v>15.4</v>
      </c>
      <c r="T96" s="216">
        <v>15.3</v>
      </c>
      <c r="U96" s="216">
        <v>15.2</v>
      </c>
      <c r="V96" s="216">
        <v>15.2</v>
      </c>
      <c r="W96" s="216">
        <v>15.1</v>
      </c>
      <c r="X96" s="216">
        <v>15.1</v>
      </c>
    </row>
    <row r="97" spans="1:24" x14ac:dyDescent="0.2">
      <c r="A97" t="s">
        <v>629</v>
      </c>
      <c r="B97" s="125" t="s">
        <v>434</v>
      </c>
      <c r="C97" s="89">
        <f t="shared" si="2"/>
        <v>3.1130523300545673E-3</v>
      </c>
      <c r="D97" t="s">
        <v>555</v>
      </c>
      <c r="E97" s="89">
        <f t="shared" si="3"/>
        <v>1.9042437431991296E-2</v>
      </c>
      <c r="F97" s="214">
        <v>18774</v>
      </c>
      <c r="G97" s="83">
        <v>1935</v>
      </c>
      <c r="H97" s="83">
        <v>1875</v>
      </c>
      <c r="I97" s="83">
        <v>1835</v>
      </c>
      <c r="J97" s="83">
        <v>1785</v>
      </c>
      <c r="K97" s="83">
        <v>1760</v>
      </c>
      <c r="L97" s="83">
        <v>7596000</v>
      </c>
      <c r="M97" s="103" t="s">
        <v>434</v>
      </c>
      <c r="N97" s="214">
        <v>18554</v>
      </c>
      <c r="O97" s="214">
        <v>18774</v>
      </c>
      <c r="P97" s="216">
        <v>18.600000000000001</v>
      </c>
      <c r="Q97" s="216">
        <v>18.7</v>
      </c>
      <c r="R97" s="216">
        <v>18.8</v>
      </c>
      <c r="S97" s="216">
        <v>18.899999999999999</v>
      </c>
      <c r="T97" s="216">
        <v>19</v>
      </c>
      <c r="U97" s="216">
        <v>19</v>
      </c>
      <c r="V97" s="216">
        <v>19.100000000000001</v>
      </c>
      <c r="W97" s="216">
        <v>19.2</v>
      </c>
      <c r="X97" s="216">
        <v>19.3</v>
      </c>
    </row>
    <row r="98" spans="1:24" x14ac:dyDescent="0.2">
      <c r="A98" t="s">
        <v>638</v>
      </c>
      <c r="B98" s="125" t="s">
        <v>483</v>
      </c>
      <c r="C98" s="89">
        <f t="shared" si="2"/>
        <v>1.0301346998917707E-3</v>
      </c>
      <c r="D98" t="s">
        <v>555</v>
      </c>
      <c r="E98" s="89">
        <f t="shared" si="3"/>
        <v>2.575991756826378E-2</v>
      </c>
      <c r="F98" s="214">
        <v>25563</v>
      </c>
      <c r="G98" s="83">
        <v>2075</v>
      </c>
      <c r="H98" s="83">
        <v>2030</v>
      </c>
      <c r="I98" s="83">
        <v>1925</v>
      </c>
      <c r="J98" s="83">
        <v>1850</v>
      </c>
      <c r="K98" s="83">
        <v>1825</v>
      </c>
      <c r="L98" s="83">
        <v>20559000</v>
      </c>
      <c r="M98" s="103" t="s">
        <v>483</v>
      </c>
      <c r="N98" s="214">
        <v>25297</v>
      </c>
      <c r="O98" s="214">
        <v>25563</v>
      </c>
      <c r="P98" s="216">
        <v>25.7</v>
      </c>
      <c r="Q98" s="216">
        <v>26</v>
      </c>
      <c r="R98" s="216">
        <v>26.1</v>
      </c>
      <c r="S98" s="216">
        <v>26.1</v>
      </c>
      <c r="T98" s="216">
        <v>26.3</v>
      </c>
      <c r="U98" s="216">
        <v>26.2</v>
      </c>
      <c r="V98" s="216">
        <v>26.2</v>
      </c>
      <c r="W98" s="216">
        <v>26</v>
      </c>
      <c r="X98" s="216">
        <v>25.8</v>
      </c>
    </row>
    <row r="99" spans="1:24" x14ac:dyDescent="0.2">
      <c r="A99" t="s">
        <v>629</v>
      </c>
      <c r="B99" s="125" t="s">
        <v>435</v>
      </c>
      <c r="C99" s="89">
        <f t="shared" si="2"/>
        <v>4.8073939619597255E-3</v>
      </c>
      <c r="D99" t="s">
        <v>526</v>
      </c>
      <c r="E99" s="89">
        <f t="shared" si="3"/>
        <v>2.6394721055788842E-2</v>
      </c>
      <c r="F99" s="214">
        <v>229184</v>
      </c>
      <c r="G99" s="83">
        <v>19600</v>
      </c>
      <c r="H99" s="83">
        <v>19080</v>
      </c>
      <c r="I99" s="83">
        <v>18375</v>
      </c>
      <c r="J99" s="83">
        <v>17450</v>
      </c>
      <c r="K99" s="83">
        <v>17180</v>
      </c>
      <c r="L99" s="83">
        <v>297797000</v>
      </c>
      <c r="M99" s="103" t="s">
        <v>435</v>
      </c>
      <c r="N99" s="214">
        <v>226879</v>
      </c>
      <c r="O99" s="214">
        <v>229184</v>
      </c>
      <c r="P99" s="216">
        <v>229.8</v>
      </c>
      <c r="Q99" s="216">
        <v>231.3</v>
      </c>
      <c r="R99" s="216">
        <v>232.6</v>
      </c>
      <c r="S99" s="216">
        <v>234</v>
      </c>
      <c r="T99" s="216">
        <v>235.2</v>
      </c>
      <c r="U99" s="216">
        <v>236.3</v>
      </c>
      <c r="V99" s="216">
        <v>237.4</v>
      </c>
      <c r="W99" s="216">
        <v>238.2</v>
      </c>
      <c r="X99" s="216">
        <v>239.1</v>
      </c>
    </row>
    <row r="100" spans="1:24" x14ac:dyDescent="0.2">
      <c r="A100" t="s">
        <v>631</v>
      </c>
      <c r="B100" s="125" t="s">
        <v>238</v>
      </c>
      <c r="C100" s="89">
        <f t="shared" si="2"/>
        <v>4.2740590098990861E-3</v>
      </c>
      <c r="D100" t="s">
        <v>555</v>
      </c>
      <c r="E100" s="89">
        <f t="shared" si="3"/>
        <v>2.7429934406678593E-2</v>
      </c>
      <c r="F100" s="214">
        <v>23111</v>
      </c>
      <c r="G100" s="83">
        <v>1790</v>
      </c>
      <c r="H100" s="83">
        <v>1750</v>
      </c>
      <c r="I100" s="83">
        <v>1660</v>
      </c>
      <c r="J100" s="83">
        <v>1625</v>
      </c>
      <c r="K100" s="83">
        <v>1560</v>
      </c>
      <c r="L100" s="83">
        <v>19782000</v>
      </c>
      <c r="M100" s="103" t="s">
        <v>238</v>
      </c>
      <c r="N100" s="214">
        <v>23029</v>
      </c>
      <c r="O100" s="214">
        <v>23111</v>
      </c>
      <c r="P100" s="216">
        <v>23.3</v>
      </c>
      <c r="Q100" s="216">
        <v>23.4</v>
      </c>
      <c r="R100" s="216">
        <v>23.5</v>
      </c>
      <c r="S100" s="216">
        <v>23.6</v>
      </c>
      <c r="T100" s="216">
        <v>23.7</v>
      </c>
      <c r="U100" s="216">
        <v>23.8</v>
      </c>
      <c r="V100" s="216">
        <v>23.9</v>
      </c>
      <c r="W100" s="216">
        <v>23.9</v>
      </c>
      <c r="X100" s="216">
        <v>24</v>
      </c>
    </row>
    <row r="101" spans="1:24" x14ac:dyDescent="0.2">
      <c r="A101" t="s">
        <v>628</v>
      </c>
      <c r="B101" s="125" t="s">
        <v>147</v>
      </c>
      <c r="C101" s="89">
        <f t="shared" si="2"/>
        <v>-2.81467111044786E-3</v>
      </c>
      <c r="D101" t="s">
        <v>526</v>
      </c>
      <c r="E101" s="89">
        <f t="shared" si="3"/>
        <v>1.4960197639308262E-2</v>
      </c>
      <c r="F101" s="214">
        <v>107216</v>
      </c>
      <c r="G101" s="83">
        <v>7545</v>
      </c>
      <c r="H101" s="83">
        <v>7490</v>
      </c>
      <c r="I101" s="83">
        <v>7305</v>
      </c>
      <c r="J101" s="83">
        <v>7090</v>
      </c>
      <c r="K101" s="83">
        <v>7000</v>
      </c>
      <c r="L101" s="83">
        <v>238813000</v>
      </c>
      <c r="M101" s="103" t="s">
        <v>147</v>
      </c>
      <c r="N101" s="214">
        <v>107508</v>
      </c>
      <c r="O101" s="214">
        <v>107216</v>
      </c>
      <c r="P101" s="216">
        <v>107.3</v>
      </c>
      <c r="Q101" s="216">
        <v>107</v>
      </c>
      <c r="R101" s="216">
        <v>107</v>
      </c>
      <c r="S101" s="216">
        <v>106.7</v>
      </c>
      <c r="T101" s="216">
        <v>106.3</v>
      </c>
      <c r="U101" s="216">
        <v>105.8</v>
      </c>
      <c r="V101" s="216">
        <v>105.4</v>
      </c>
      <c r="W101" s="216">
        <v>104.9</v>
      </c>
      <c r="X101" s="216">
        <v>104.5</v>
      </c>
    </row>
    <row r="102" spans="1:24" x14ac:dyDescent="0.2">
      <c r="A102" t="s">
        <v>630</v>
      </c>
      <c r="B102" s="125" t="s">
        <v>314</v>
      </c>
      <c r="C102" s="89">
        <f t="shared" si="2"/>
        <v>4.3602465794617355E-3</v>
      </c>
      <c r="D102" t="s">
        <v>155</v>
      </c>
      <c r="E102" s="89">
        <f t="shared" si="3"/>
        <v>1.6069221260815822E-2</v>
      </c>
      <c r="F102" s="214">
        <v>18475</v>
      </c>
      <c r="G102" s="83">
        <v>1685</v>
      </c>
      <c r="H102" s="83">
        <v>1660</v>
      </c>
      <c r="I102" s="83">
        <v>1605</v>
      </c>
      <c r="J102" s="83">
        <v>1585</v>
      </c>
      <c r="K102" s="83">
        <v>1555</v>
      </c>
      <c r="L102" s="83">
        <v>22218000</v>
      </c>
      <c r="M102" s="103" t="s">
        <v>314</v>
      </c>
      <c r="N102" s="214">
        <v>18474</v>
      </c>
      <c r="O102" s="214">
        <v>18475</v>
      </c>
      <c r="P102" s="216">
        <v>18.7</v>
      </c>
      <c r="Q102" s="216">
        <v>18.7</v>
      </c>
      <c r="R102" s="216">
        <v>18.8</v>
      </c>
      <c r="S102" s="216">
        <v>18.8</v>
      </c>
      <c r="T102" s="216">
        <v>18.899999999999999</v>
      </c>
      <c r="U102" s="216">
        <v>19</v>
      </c>
      <c r="V102" s="216">
        <v>19.100000000000001</v>
      </c>
      <c r="W102" s="216">
        <v>19.2</v>
      </c>
      <c r="X102" s="216">
        <v>19.2</v>
      </c>
    </row>
    <row r="103" spans="1:24" x14ac:dyDescent="0.2">
      <c r="A103" t="s">
        <v>634</v>
      </c>
      <c r="B103" s="125" t="s">
        <v>204</v>
      </c>
      <c r="C103" s="89">
        <f t="shared" si="2"/>
        <v>1.7718696735098466E-3</v>
      </c>
      <c r="D103" t="s">
        <v>526</v>
      </c>
      <c r="E103" s="89">
        <f t="shared" si="3"/>
        <v>1.738387004844685E-2</v>
      </c>
      <c r="F103" s="214">
        <v>158276</v>
      </c>
      <c r="G103" s="83">
        <v>11010</v>
      </c>
      <c r="H103" s="83">
        <v>10780</v>
      </c>
      <c r="I103" s="83">
        <v>10535</v>
      </c>
      <c r="J103" s="83">
        <v>10215</v>
      </c>
      <c r="K103" s="83">
        <v>10095</v>
      </c>
      <c r="L103" s="83">
        <v>468597000</v>
      </c>
      <c r="M103" s="103" t="s">
        <v>204</v>
      </c>
      <c r="N103" s="214">
        <v>158142</v>
      </c>
      <c r="O103" s="214">
        <v>158276</v>
      </c>
      <c r="P103" s="216">
        <v>159.30000000000001</v>
      </c>
      <c r="Q103" s="216">
        <v>159.6</v>
      </c>
      <c r="R103" s="216">
        <v>159.80000000000001</v>
      </c>
      <c r="S103" s="216">
        <v>160</v>
      </c>
      <c r="T103" s="216">
        <v>160.19999999999999</v>
      </c>
      <c r="U103" s="216">
        <v>160.4</v>
      </c>
      <c r="V103" s="216">
        <v>160.6</v>
      </c>
      <c r="W103" s="216">
        <v>160.69999999999999</v>
      </c>
      <c r="X103" s="216">
        <v>160.80000000000001</v>
      </c>
    </row>
    <row r="104" spans="1:24" x14ac:dyDescent="0.2">
      <c r="A104" t="s">
        <v>631</v>
      </c>
      <c r="B104" s="125" t="s">
        <v>239</v>
      </c>
      <c r="C104" s="89">
        <f t="shared" si="2"/>
        <v>1.6234425098421201E-4</v>
      </c>
      <c r="D104" t="s">
        <v>155</v>
      </c>
      <c r="E104" s="89">
        <f t="shared" si="3"/>
        <v>1.5134736064968624E-2</v>
      </c>
      <c r="F104" s="214">
        <v>32852</v>
      </c>
      <c r="G104" s="83">
        <v>2825</v>
      </c>
      <c r="H104" s="83">
        <v>2775</v>
      </c>
      <c r="I104" s="83">
        <v>2640</v>
      </c>
      <c r="J104" s="83">
        <v>2685</v>
      </c>
      <c r="K104" s="83">
        <v>2620</v>
      </c>
      <c r="L104" s="83">
        <v>7728000</v>
      </c>
      <c r="M104" s="103" t="s">
        <v>239</v>
      </c>
      <c r="N104" s="214">
        <v>32543</v>
      </c>
      <c r="O104" s="214">
        <v>32852</v>
      </c>
      <c r="P104" s="216">
        <v>32.5</v>
      </c>
      <c r="Q104" s="216">
        <v>32.5</v>
      </c>
      <c r="R104" s="216">
        <v>32.700000000000003</v>
      </c>
      <c r="S104" s="216">
        <v>32.799999999999997</v>
      </c>
      <c r="T104" s="216">
        <v>32.9</v>
      </c>
      <c r="U104" s="216">
        <v>32.9</v>
      </c>
      <c r="V104" s="216">
        <v>32.9</v>
      </c>
      <c r="W104" s="216">
        <v>32.9</v>
      </c>
      <c r="X104" s="216">
        <v>32.9</v>
      </c>
    </row>
    <row r="105" spans="1:24" x14ac:dyDescent="0.2">
      <c r="A105" t="s">
        <v>631</v>
      </c>
      <c r="B105" s="125" t="s">
        <v>240</v>
      </c>
      <c r="C105" s="89">
        <f t="shared" si="2"/>
        <v>-2.0648307087593604E-3</v>
      </c>
      <c r="D105" t="s">
        <v>155</v>
      </c>
      <c r="E105" s="89">
        <f t="shared" si="3"/>
        <v>1.8173758865248225E-2</v>
      </c>
      <c r="F105" s="214">
        <v>26798</v>
      </c>
      <c r="G105" s="83">
        <v>2370</v>
      </c>
      <c r="H105" s="83">
        <v>2325</v>
      </c>
      <c r="I105" s="83">
        <v>2250</v>
      </c>
      <c r="J105" s="83">
        <v>2170</v>
      </c>
      <c r="K105" s="83">
        <v>2165</v>
      </c>
      <c r="L105" s="83">
        <v>-26790000</v>
      </c>
      <c r="M105" s="103" t="s">
        <v>240</v>
      </c>
      <c r="N105" s="214">
        <v>26596</v>
      </c>
      <c r="O105" s="214">
        <v>26798</v>
      </c>
      <c r="P105" s="216">
        <v>26.1</v>
      </c>
      <c r="Q105" s="216">
        <v>26.1</v>
      </c>
      <c r="R105" s="216">
        <v>26.1</v>
      </c>
      <c r="S105" s="216">
        <v>26.2</v>
      </c>
      <c r="T105" s="216">
        <v>26.2</v>
      </c>
      <c r="U105" s="216">
        <v>26.2</v>
      </c>
      <c r="V105" s="216">
        <v>26.2</v>
      </c>
      <c r="W105" s="216">
        <v>26.3</v>
      </c>
      <c r="X105" s="216">
        <v>26.3</v>
      </c>
    </row>
    <row r="106" spans="1:24" x14ac:dyDescent="0.2">
      <c r="A106" t="s">
        <v>629</v>
      </c>
      <c r="B106" s="125" t="s">
        <v>436</v>
      </c>
      <c r="C106" s="89">
        <f t="shared" si="2"/>
        <v>4.2680062896934797E-3</v>
      </c>
      <c r="D106" t="s">
        <v>155</v>
      </c>
      <c r="E106" s="89">
        <f t="shared" si="3"/>
        <v>1.8371096142069811E-2</v>
      </c>
      <c r="F106" s="214">
        <v>43528</v>
      </c>
      <c r="G106" s="83">
        <v>3390</v>
      </c>
      <c r="H106" s="83">
        <v>3370</v>
      </c>
      <c r="I106" s="83">
        <v>3315</v>
      </c>
      <c r="J106" s="83">
        <v>3165</v>
      </c>
      <c r="K106" s="83">
        <v>3090</v>
      </c>
      <c r="L106" s="83">
        <v>30414000</v>
      </c>
      <c r="M106" s="103" t="s">
        <v>436</v>
      </c>
      <c r="N106" s="214">
        <v>43032</v>
      </c>
      <c r="O106" s="214">
        <v>43528</v>
      </c>
      <c r="P106" s="216">
        <v>43.5</v>
      </c>
      <c r="Q106" s="216">
        <v>43.9</v>
      </c>
      <c r="R106" s="216">
        <v>44.2</v>
      </c>
      <c r="S106" s="216">
        <v>44.4</v>
      </c>
      <c r="T106" s="216">
        <v>44.6</v>
      </c>
      <c r="U106" s="216">
        <v>44.7</v>
      </c>
      <c r="V106" s="216">
        <v>44.9</v>
      </c>
      <c r="W106" s="216">
        <v>45.1</v>
      </c>
      <c r="X106" s="216">
        <v>45.2</v>
      </c>
    </row>
    <row r="107" spans="1:24" x14ac:dyDescent="0.2">
      <c r="A107" t="s">
        <v>632</v>
      </c>
      <c r="B107" s="125" t="s">
        <v>183</v>
      </c>
      <c r="C107" s="89">
        <f t="shared" si="2"/>
        <v>3.8446751249519417E-4</v>
      </c>
      <c r="D107" t="s">
        <v>155</v>
      </c>
      <c r="E107" s="89">
        <f t="shared" si="3"/>
        <v>1.8018018018018018E-2</v>
      </c>
      <c r="F107" s="214">
        <v>8670</v>
      </c>
      <c r="G107" s="83">
        <v>690</v>
      </c>
      <c r="H107" s="83">
        <v>685</v>
      </c>
      <c r="I107" s="83">
        <v>670</v>
      </c>
      <c r="J107" s="83">
        <v>655</v>
      </c>
      <c r="K107" s="83">
        <v>630</v>
      </c>
      <c r="L107" s="83">
        <v>13394000</v>
      </c>
      <c r="M107" s="103" t="s">
        <v>183</v>
      </c>
      <c r="N107" s="214">
        <v>8735</v>
      </c>
      <c r="O107" s="214">
        <v>8670</v>
      </c>
      <c r="P107" s="216">
        <v>8.8000000000000007</v>
      </c>
      <c r="Q107" s="216">
        <v>8.8000000000000007</v>
      </c>
      <c r="R107" s="216">
        <v>8.8000000000000007</v>
      </c>
      <c r="S107" s="216">
        <v>8.8000000000000007</v>
      </c>
      <c r="T107" s="216">
        <v>8.8000000000000007</v>
      </c>
      <c r="U107" s="216">
        <v>8.8000000000000007</v>
      </c>
      <c r="V107" s="216">
        <v>8.8000000000000007</v>
      </c>
      <c r="W107" s="216">
        <v>8.6999999999999993</v>
      </c>
      <c r="X107" s="216">
        <v>8.6999999999999993</v>
      </c>
    </row>
    <row r="108" spans="1:24" x14ac:dyDescent="0.2">
      <c r="A108" t="s">
        <v>632</v>
      </c>
      <c r="B108" s="125" t="s">
        <v>184</v>
      </c>
      <c r="C108" s="89">
        <f t="shared" si="2"/>
        <v>-2.2971829283037117E-3</v>
      </c>
      <c r="D108" t="s">
        <v>155</v>
      </c>
      <c r="E108" s="89">
        <f t="shared" si="3"/>
        <v>1.4157014157014158E-2</v>
      </c>
      <c r="F108" s="214">
        <v>20218</v>
      </c>
      <c r="G108" s="83">
        <v>1605</v>
      </c>
      <c r="H108" s="83">
        <v>1605</v>
      </c>
      <c r="I108" s="83">
        <v>1545</v>
      </c>
      <c r="J108" s="83">
        <v>1520</v>
      </c>
      <c r="K108" s="83">
        <v>1495</v>
      </c>
      <c r="L108" s="83">
        <v>22973000</v>
      </c>
      <c r="M108" s="103" t="s">
        <v>184</v>
      </c>
      <c r="N108" s="214">
        <v>20211</v>
      </c>
      <c r="O108" s="214">
        <v>20218</v>
      </c>
      <c r="P108" s="216">
        <v>20.3</v>
      </c>
      <c r="Q108" s="216">
        <v>20.3</v>
      </c>
      <c r="R108" s="216">
        <v>20.3</v>
      </c>
      <c r="S108" s="216">
        <v>20.2</v>
      </c>
      <c r="T108" s="216">
        <v>20.2</v>
      </c>
      <c r="U108" s="216">
        <v>20.100000000000001</v>
      </c>
      <c r="V108" s="216">
        <v>20</v>
      </c>
      <c r="W108" s="216">
        <v>19.899999999999999</v>
      </c>
      <c r="X108" s="216">
        <v>19.8</v>
      </c>
    </row>
    <row r="109" spans="1:24" x14ac:dyDescent="0.2">
      <c r="A109" t="s">
        <v>629</v>
      </c>
      <c r="B109" s="125" t="s">
        <v>437</v>
      </c>
      <c r="C109" s="89">
        <f t="shared" si="2"/>
        <v>3.463029195761789E-3</v>
      </c>
      <c r="D109" t="s">
        <v>155</v>
      </c>
      <c r="E109" s="89">
        <f t="shared" si="3"/>
        <v>1.1444141689373298E-2</v>
      </c>
      <c r="F109" s="214">
        <v>21529</v>
      </c>
      <c r="G109" s="83">
        <v>1875</v>
      </c>
      <c r="H109" s="83">
        <v>1890</v>
      </c>
      <c r="I109" s="83">
        <v>1825</v>
      </c>
      <c r="J109" s="83">
        <v>1815</v>
      </c>
      <c r="K109" s="83">
        <v>1770</v>
      </c>
      <c r="L109" s="83">
        <v>13001000</v>
      </c>
      <c r="M109" s="103" t="s">
        <v>437</v>
      </c>
      <c r="N109" s="214">
        <v>21502</v>
      </c>
      <c r="O109" s="214">
        <v>21529</v>
      </c>
      <c r="P109" s="216">
        <v>21.7</v>
      </c>
      <c r="Q109" s="216">
        <v>21.7</v>
      </c>
      <c r="R109" s="216">
        <v>21.8</v>
      </c>
      <c r="S109" s="216">
        <v>21.8</v>
      </c>
      <c r="T109" s="216">
        <v>21.9</v>
      </c>
      <c r="U109" s="216">
        <v>22</v>
      </c>
      <c r="V109" s="216">
        <v>22</v>
      </c>
      <c r="W109" s="216">
        <v>22.1</v>
      </c>
      <c r="X109" s="216">
        <v>22.2</v>
      </c>
    </row>
    <row r="110" spans="1:24" x14ac:dyDescent="0.2">
      <c r="A110" t="s">
        <v>631</v>
      </c>
      <c r="B110" s="125" t="s">
        <v>241</v>
      </c>
      <c r="C110" s="89">
        <f t="shared" si="2"/>
        <v>-9.2375117540087904E-4</v>
      </c>
      <c r="D110" t="s">
        <v>555</v>
      </c>
      <c r="E110" s="89">
        <f t="shared" si="3"/>
        <v>1.7825311942959002E-2</v>
      </c>
      <c r="F110" s="214">
        <v>26823</v>
      </c>
      <c r="G110" s="83">
        <v>2950</v>
      </c>
      <c r="H110" s="83">
        <v>2865</v>
      </c>
      <c r="I110" s="83">
        <v>2805</v>
      </c>
      <c r="J110" s="83">
        <v>2705</v>
      </c>
      <c r="K110" s="83">
        <v>2700</v>
      </c>
      <c r="L110" s="83">
        <v>69827000</v>
      </c>
      <c r="M110" s="103" t="s">
        <v>241</v>
      </c>
      <c r="N110" s="214">
        <v>26599</v>
      </c>
      <c r="O110" s="214">
        <v>26823</v>
      </c>
      <c r="P110" s="216">
        <v>26.4</v>
      </c>
      <c r="Q110" s="216">
        <v>26.4</v>
      </c>
      <c r="R110" s="216">
        <v>26.5</v>
      </c>
      <c r="S110" s="216">
        <v>26.6</v>
      </c>
      <c r="T110" s="216">
        <v>26.6</v>
      </c>
      <c r="U110" s="216">
        <v>26.6</v>
      </c>
      <c r="V110" s="216">
        <v>26.6</v>
      </c>
      <c r="W110" s="216">
        <v>26.6</v>
      </c>
      <c r="X110" s="216">
        <v>26.6</v>
      </c>
    </row>
    <row r="111" spans="1:24" x14ac:dyDescent="0.2">
      <c r="A111" t="s">
        <v>629</v>
      </c>
      <c r="B111" s="125" t="s">
        <v>438</v>
      </c>
      <c r="C111" s="89">
        <f t="shared" si="2"/>
        <v>2.1000673606511905E-3</v>
      </c>
      <c r="D111" t="s">
        <v>155</v>
      </c>
      <c r="E111" s="89">
        <f t="shared" si="3"/>
        <v>1.7067223963775687E-2</v>
      </c>
      <c r="F111" s="214">
        <v>39258</v>
      </c>
      <c r="G111" s="83">
        <v>2995</v>
      </c>
      <c r="H111" s="83">
        <v>2955</v>
      </c>
      <c r="I111" s="83">
        <v>2865</v>
      </c>
      <c r="J111" s="83">
        <v>2790</v>
      </c>
      <c r="K111" s="83">
        <v>2750</v>
      </c>
      <c r="L111" s="83">
        <v>42390000</v>
      </c>
      <c r="M111" s="103" t="s">
        <v>438</v>
      </c>
      <c r="N111" s="214">
        <v>39070</v>
      </c>
      <c r="O111" s="214">
        <v>39258</v>
      </c>
      <c r="P111" s="216">
        <v>39.5</v>
      </c>
      <c r="Q111" s="216">
        <v>39.6</v>
      </c>
      <c r="R111" s="216">
        <v>39.6</v>
      </c>
      <c r="S111" s="216">
        <v>39.700000000000003</v>
      </c>
      <c r="T111" s="216">
        <v>39.700000000000003</v>
      </c>
      <c r="U111" s="216">
        <v>39.700000000000003</v>
      </c>
      <c r="V111" s="216">
        <v>39.799999999999997</v>
      </c>
      <c r="W111" s="216">
        <v>39.9</v>
      </c>
      <c r="X111" s="216">
        <v>40</v>
      </c>
    </row>
    <row r="112" spans="1:24" x14ac:dyDescent="0.2">
      <c r="A112" t="s">
        <v>629</v>
      </c>
      <c r="B112" s="125" t="s">
        <v>439</v>
      </c>
      <c r="C112" s="89">
        <f t="shared" si="2"/>
        <v>1.6400164001640018E-3</v>
      </c>
      <c r="D112" t="s">
        <v>155</v>
      </c>
      <c r="E112" s="89">
        <f t="shared" si="3"/>
        <v>2.2795216741405083E-2</v>
      </c>
      <c r="F112" s="214">
        <v>30352</v>
      </c>
      <c r="G112" s="83">
        <v>2840</v>
      </c>
      <c r="H112" s="83">
        <v>2735</v>
      </c>
      <c r="I112" s="83">
        <v>2685</v>
      </c>
      <c r="J112" s="83">
        <v>2585</v>
      </c>
      <c r="K112" s="83">
        <v>2535</v>
      </c>
      <c r="L112" s="83">
        <v>109305000</v>
      </c>
      <c r="M112" s="103" t="s">
        <v>439</v>
      </c>
      <c r="N112" s="214">
        <v>30032</v>
      </c>
      <c r="O112" s="214">
        <v>30352</v>
      </c>
      <c r="P112" s="216">
        <v>29.9</v>
      </c>
      <c r="Q112" s="216">
        <v>30.1</v>
      </c>
      <c r="R112" s="216">
        <v>30.2</v>
      </c>
      <c r="S112" s="216">
        <v>30.3</v>
      </c>
      <c r="T112" s="216">
        <v>30.3</v>
      </c>
      <c r="U112" s="216">
        <v>30.4</v>
      </c>
      <c r="V112" s="216">
        <v>30.5</v>
      </c>
      <c r="W112" s="216">
        <v>30.6</v>
      </c>
      <c r="X112" s="216">
        <v>30.8</v>
      </c>
    </row>
    <row r="113" spans="1:24" x14ac:dyDescent="0.2">
      <c r="A113" t="s">
        <v>638</v>
      </c>
      <c r="B113" s="125" t="s">
        <v>484</v>
      </c>
      <c r="C113" s="89">
        <f t="shared" si="2"/>
        <v>-3.1284217112466757E-4</v>
      </c>
      <c r="D113" t="s">
        <v>155</v>
      </c>
      <c r="E113" s="89">
        <f t="shared" si="3"/>
        <v>1.4434643143544507E-2</v>
      </c>
      <c r="F113" s="214">
        <v>17048</v>
      </c>
      <c r="G113" s="83">
        <v>1290</v>
      </c>
      <c r="H113" s="83">
        <v>1285</v>
      </c>
      <c r="I113" s="83">
        <v>1245</v>
      </c>
      <c r="J113" s="83">
        <v>1215</v>
      </c>
      <c r="K113" s="83">
        <v>1200</v>
      </c>
      <c r="L113" s="83">
        <v>23886000</v>
      </c>
      <c r="M113" s="103" t="s">
        <v>484</v>
      </c>
      <c r="N113" s="214">
        <v>17129</v>
      </c>
      <c r="O113" s="214">
        <v>17048</v>
      </c>
      <c r="P113" s="216">
        <v>17.2</v>
      </c>
      <c r="Q113" s="216">
        <v>17.2</v>
      </c>
      <c r="R113" s="216">
        <v>17.2</v>
      </c>
      <c r="S113" s="216">
        <v>17.2</v>
      </c>
      <c r="T113" s="216">
        <v>17.2</v>
      </c>
      <c r="U113" s="216">
        <v>17.100000000000001</v>
      </c>
      <c r="V113" s="216">
        <v>17.100000000000001</v>
      </c>
      <c r="W113" s="216">
        <v>17</v>
      </c>
      <c r="X113" s="216">
        <v>17</v>
      </c>
    </row>
    <row r="114" spans="1:24" x14ac:dyDescent="0.2">
      <c r="A114" t="s">
        <v>633</v>
      </c>
      <c r="B114" s="125" t="s">
        <v>357</v>
      </c>
      <c r="C114" s="89">
        <f t="shared" si="2"/>
        <v>3.4285539749081772E-3</v>
      </c>
      <c r="D114" t="s">
        <v>555</v>
      </c>
      <c r="E114" s="89">
        <f t="shared" si="3"/>
        <v>1.4131897711978465E-2</v>
      </c>
      <c r="F114" s="214">
        <v>14551</v>
      </c>
      <c r="G114" s="83">
        <v>1550</v>
      </c>
      <c r="H114" s="83">
        <v>1505</v>
      </c>
      <c r="I114" s="83">
        <v>1485</v>
      </c>
      <c r="J114" s="83">
        <v>1445</v>
      </c>
      <c r="K114" s="83">
        <v>1445</v>
      </c>
      <c r="L114" s="83">
        <v>-81509000</v>
      </c>
      <c r="M114" s="103" t="s">
        <v>357</v>
      </c>
      <c r="N114" s="214">
        <v>14598</v>
      </c>
      <c r="O114" s="214">
        <v>14551</v>
      </c>
      <c r="P114" s="216">
        <v>14.8</v>
      </c>
      <c r="Q114" s="216">
        <v>14.8</v>
      </c>
      <c r="R114" s="216">
        <v>14.9</v>
      </c>
      <c r="S114" s="216">
        <v>14.9</v>
      </c>
      <c r="T114" s="216">
        <v>14.9</v>
      </c>
      <c r="U114" s="216">
        <v>14.9</v>
      </c>
      <c r="V114" s="216">
        <v>15</v>
      </c>
      <c r="W114" s="216">
        <v>15</v>
      </c>
      <c r="X114" s="216">
        <v>15</v>
      </c>
    </row>
    <row r="115" spans="1:24" x14ac:dyDescent="0.2">
      <c r="A115" t="s">
        <v>629</v>
      </c>
      <c r="B115" s="125" t="s">
        <v>440</v>
      </c>
      <c r="C115" s="89">
        <f t="shared" si="2"/>
        <v>1.5742182719050573E-3</v>
      </c>
      <c r="D115" t="s">
        <v>155</v>
      </c>
      <c r="E115" s="89">
        <f t="shared" si="3"/>
        <v>1.998001998001998E-2</v>
      </c>
      <c r="F115" s="214">
        <v>26327</v>
      </c>
      <c r="G115" s="83">
        <v>2115</v>
      </c>
      <c r="H115" s="83">
        <v>2045</v>
      </c>
      <c r="I115" s="83">
        <v>1995</v>
      </c>
      <c r="J115" s="83">
        <v>1940</v>
      </c>
      <c r="K115" s="83">
        <v>1915</v>
      </c>
      <c r="L115" s="83">
        <v>23241000</v>
      </c>
      <c r="M115" s="103" t="s">
        <v>440</v>
      </c>
      <c r="N115" s="214">
        <v>26241</v>
      </c>
      <c r="O115" s="214">
        <v>26327</v>
      </c>
      <c r="P115" s="216">
        <v>26.9</v>
      </c>
      <c r="Q115" s="216">
        <v>26.9</v>
      </c>
      <c r="R115" s="216">
        <v>26.8</v>
      </c>
      <c r="S115" s="216">
        <v>26.8</v>
      </c>
      <c r="T115" s="216">
        <v>26.9</v>
      </c>
      <c r="U115" s="216">
        <v>26.9</v>
      </c>
      <c r="V115" s="216">
        <v>26.8</v>
      </c>
      <c r="W115" s="216">
        <v>26.7</v>
      </c>
      <c r="X115" s="216">
        <v>26.7</v>
      </c>
    </row>
    <row r="116" spans="1:24" x14ac:dyDescent="0.2">
      <c r="A116" t="s">
        <v>633</v>
      </c>
      <c r="B116" s="125" t="s">
        <v>358</v>
      </c>
      <c r="C116" s="89">
        <f t="shared" si="2"/>
        <v>-1.6643149173269653E-3</v>
      </c>
      <c r="D116" t="s">
        <v>555</v>
      </c>
      <c r="E116" s="89">
        <f t="shared" si="3"/>
        <v>2.4211298606016139E-2</v>
      </c>
      <c r="F116" s="214">
        <v>49136</v>
      </c>
      <c r="G116" s="83">
        <v>4340</v>
      </c>
      <c r="H116" s="83">
        <v>4245</v>
      </c>
      <c r="I116" s="83">
        <v>4065</v>
      </c>
      <c r="J116" s="83">
        <v>3950</v>
      </c>
      <c r="K116" s="83">
        <v>3845</v>
      </c>
      <c r="L116" s="83">
        <v>58353000</v>
      </c>
      <c r="M116" s="103" t="s">
        <v>358</v>
      </c>
      <c r="N116" s="214">
        <v>48661</v>
      </c>
      <c r="O116" s="214">
        <v>49136</v>
      </c>
      <c r="P116" s="216">
        <v>48</v>
      </c>
      <c r="Q116" s="216">
        <v>48.1</v>
      </c>
      <c r="R116" s="216">
        <v>48.2</v>
      </c>
      <c r="S116" s="216">
        <v>48.2</v>
      </c>
      <c r="T116" s="216">
        <v>48.3</v>
      </c>
      <c r="U116" s="216">
        <v>48.3</v>
      </c>
      <c r="V116" s="216">
        <v>48.4</v>
      </c>
      <c r="W116" s="216">
        <v>48.4</v>
      </c>
      <c r="X116" s="216">
        <v>48.4</v>
      </c>
    </row>
    <row r="117" spans="1:24" x14ac:dyDescent="0.2">
      <c r="A117" t="s">
        <v>640</v>
      </c>
      <c r="B117" s="125" t="s">
        <v>404</v>
      </c>
      <c r="C117" s="89">
        <f t="shared" si="2"/>
        <v>2.2043396276525112E-3</v>
      </c>
      <c r="D117" t="s">
        <v>155</v>
      </c>
      <c r="E117" s="89">
        <f t="shared" si="3"/>
        <v>2.2770398481973434E-2</v>
      </c>
      <c r="F117" s="214">
        <v>37653</v>
      </c>
      <c r="G117" s="83">
        <v>3360</v>
      </c>
      <c r="H117" s="83">
        <v>3255</v>
      </c>
      <c r="I117" s="83">
        <v>3165</v>
      </c>
      <c r="J117" s="83">
        <v>3030</v>
      </c>
      <c r="K117" s="83">
        <v>3000</v>
      </c>
      <c r="L117" s="83">
        <v>109255000</v>
      </c>
      <c r="M117" s="103" t="s">
        <v>404</v>
      </c>
      <c r="N117" s="214">
        <v>37256</v>
      </c>
      <c r="O117" s="214">
        <v>37653</v>
      </c>
      <c r="P117" s="216">
        <v>37.4</v>
      </c>
      <c r="Q117" s="216">
        <v>37.6</v>
      </c>
      <c r="R117" s="216">
        <v>37.700000000000003</v>
      </c>
      <c r="S117" s="216">
        <v>37.799999999999997</v>
      </c>
      <c r="T117" s="216">
        <v>37.9</v>
      </c>
      <c r="U117" s="216">
        <v>38</v>
      </c>
      <c r="V117" s="216">
        <v>38.1</v>
      </c>
      <c r="W117" s="216">
        <v>38.299999999999997</v>
      </c>
      <c r="X117" s="216">
        <v>38.4</v>
      </c>
    </row>
    <row r="118" spans="1:24" x14ac:dyDescent="0.2">
      <c r="A118" t="s">
        <v>629</v>
      </c>
      <c r="B118" s="125" t="s">
        <v>441</v>
      </c>
      <c r="C118" s="89">
        <f t="shared" si="2"/>
        <v>-2.5473380317568139E-4</v>
      </c>
      <c r="D118" t="s">
        <v>555</v>
      </c>
      <c r="E118" s="89">
        <f t="shared" si="3"/>
        <v>2.383592017738359E-2</v>
      </c>
      <c r="F118" s="214">
        <v>23554</v>
      </c>
      <c r="G118" s="83">
        <v>1915</v>
      </c>
      <c r="H118" s="83">
        <v>1850</v>
      </c>
      <c r="I118" s="83">
        <v>1795</v>
      </c>
      <c r="J118" s="83">
        <v>1760</v>
      </c>
      <c r="K118" s="83">
        <v>1700</v>
      </c>
      <c r="L118" s="83">
        <v>25277000</v>
      </c>
      <c r="M118" s="103" t="s">
        <v>441</v>
      </c>
      <c r="N118" s="214">
        <v>23316</v>
      </c>
      <c r="O118" s="214">
        <v>23554</v>
      </c>
      <c r="P118" s="216">
        <v>23.3</v>
      </c>
      <c r="Q118" s="216">
        <v>23.3</v>
      </c>
      <c r="R118" s="216">
        <v>23.4</v>
      </c>
      <c r="S118" s="216">
        <v>23.3</v>
      </c>
      <c r="T118" s="216">
        <v>23.4</v>
      </c>
      <c r="U118" s="216">
        <v>23.4</v>
      </c>
      <c r="V118" s="216">
        <v>23.4</v>
      </c>
      <c r="W118" s="216">
        <v>23.4</v>
      </c>
      <c r="X118" s="216">
        <v>23.5</v>
      </c>
    </row>
    <row r="119" spans="1:24" x14ac:dyDescent="0.2">
      <c r="A119" t="s">
        <v>630</v>
      </c>
      <c r="B119" s="125" t="s">
        <v>586</v>
      </c>
      <c r="C119" s="89">
        <f t="shared" si="2"/>
        <v>9.6871064613014186E-5</v>
      </c>
      <c r="D119" t="s">
        <v>555</v>
      </c>
      <c r="E119" s="89">
        <f t="shared" si="3"/>
        <v>2.3443016523089957E-2</v>
      </c>
      <c r="F119" s="214">
        <v>57350</v>
      </c>
      <c r="G119" s="83">
        <v>7540</v>
      </c>
      <c r="H119" s="83">
        <v>7345</v>
      </c>
      <c r="I119" s="83">
        <v>7050</v>
      </c>
      <c r="J119" s="83">
        <v>6760</v>
      </c>
      <c r="K119" s="83">
        <v>6710</v>
      </c>
      <c r="L119" s="83">
        <v>66951000</v>
      </c>
      <c r="M119" s="103" t="s">
        <v>586</v>
      </c>
      <c r="N119" s="214">
        <v>56973</v>
      </c>
      <c r="O119" s="214">
        <v>57350</v>
      </c>
      <c r="P119" s="216">
        <v>56.8</v>
      </c>
      <c r="Q119" s="216">
        <v>57</v>
      </c>
      <c r="R119" s="216">
        <v>57</v>
      </c>
      <c r="S119" s="216">
        <v>57</v>
      </c>
      <c r="T119" s="216">
        <v>57.3</v>
      </c>
      <c r="U119" s="216">
        <v>57.5</v>
      </c>
      <c r="V119" s="216">
        <v>57.5</v>
      </c>
      <c r="W119" s="216">
        <v>57.400000000000006</v>
      </c>
      <c r="X119" s="216">
        <v>57.400000000000006</v>
      </c>
    </row>
    <row r="120" spans="1:24" x14ac:dyDescent="0.2">
      <c r="A120" t="s">
        <v>633</v>
      </c>
      <c r="B120" s="125" t="s">
        <v>359</v>
      </c>
      <c r="C120" s="89">
        <f t="shared" si="2"/>
        <v>-2.7428795337104792E-3</v>
      </c>
      <c r="D120" t="s">
        <v>526</v>
      </c>
      <c r="E120" s="89">
        <f t="shared" si="3"/>
        <v>2.1560574948665298E-2</v>
      </c>
      <c r="F120" s="214">
        <v>36296</v>
      </c>
      <c r="G120" s="83">
        <v>3070</v>
      </c>
      <c r="H120" s="83">
        <v>2985</v>
      </c>
      <c r="I120" s="83">
        <v>2955</v>
      </c>
      <c r="J120" s="83">
        <v>2845</v>
      </c>
      <c r="K120" s="83">
        <v>2755</v>
      </c>
      <c r="L120" s="83">
        <v>184412000</v>
      </c>
      <c r="M120" s="103" t="s">
        <v>359</v>
      </c>
      <c r="N120" s="214">
        <v>35745</v>
      </c>
      <c r="O120" s="214">
        <v>36296</v>
      </c>
      <c r="P120" s="216">
        <v>35.299999999999997</v>
      </c>
      <c r="Q120" s="216">
        <v>35.4</v>
      </c>
      <c r="R120" s="216">
        <v>35.6</v>
      </c>
      <c r="S120" s="216">
        <v>35.6</v>
      </c>
      <c r="T120" s="216">
        <v>35.6</v>
      </c>
      <c r="U120" s="216">
        <v>35.5</v>
      </c>
      <c r="V120" s="216">
        <v>35.5</v>
      </c>
      <c r="W120" s="216">
        <v>35.4</v>
      </c>
      <c r="X120" s="216">
        <v>35.4</v>
      </c>
    </row>
    <row r="121" spans="1:24" x14ac:dyDescent="0.2">
      <c r="A121" t="s">
        <v>633</v>
      </c>
      <c r="B121" s="125" t="s">
        <v>360</v>
      </c>
      <c r="C121" s="89">
        <f t="shared" si="2"/>
        <v>2.6138395927913054E-3</v>
      </c>
      <c r="D121" t="s">
        <v>526</v>
      </c>
      <c r="E121" s="89">
        <f t="shared" si="3"/>
        <v>2.2383545069570479E-2</v>
      </c>
      <c r="F121" s="214">
        <v>72690</v>
      </c>
      <c r="G121" s="83">
        <v>5310</v>
      </c>
      <c r="H121" s="83">
        <v>5100</v>
      </c>
      <c r="I121" s="83">
        <v>4940</v>
      </c>
      <c r="J121" s="83">
        <v>4690</v>
      </c>
      <c r="K121" s="83">
        <v>4755</v>
      </c>
      <c r="L121" s="83">
        <v>228576000</v>
      </c>
      <c r="M121" s="103" t="s">
        <v>360</v>
      </c>
      <c r="N121" s="214">
        <v>71757</v>
      </c>
      <c r="O121" s="214">
        <v>72690</v>
      </c>
      <c r="P121" s="216">
        <v>71.8</v>
      </c>
      <c r="Q121" s="216">
        <v>72.2</v>
      </c>
      <c r="R121" s="216">
        <v>72.5</v>
      </c>
      <c r="S121" s="216">
        <v>72.900000000000006</v>
      </c>
      <c r="T121" s="216">
        <v>73.2</v>
      </c>
      <c r="U121" s="216">
        <v>73.599999999999994</v>
      </c>
      <c r="V121" s="216">
        <v>73.900000000000006</v>
      </c>
      <c r="W121" s="216">
        <v>74.2</v>
      </c>
      <c r="X121" s="216">
        <v>74.400000000000006</v>
      </c>
    </row>
    <row r="122" spans="1:24" x14ac:dyDescent="0.2">
      <c r="A122" t="s">
        <v>629</v>
      </c>
      <c r="B122" s="125" t="s">
        <v>442</v>
      </c>
      <c r="C122" s="89">
        <f t="shared" si="2"/>
        <v>-1.0026139578185986E-3</v>
      </c>
      <c r="D122" t="s">
        <v>155</v>
      </c>
      <c r="E122" s="89">
        <f t="shared" si="3"/>
        <v>2.6066350710900472E-2</v>
      </c>
      <c r="F122" s="214">
        <v>12412</v>
      </c>
      <c r="G122" s="83">
        <v>900</v>
      </c>
      <c r="H122" s="83">
        <v>870</v>
      </c>
      <c r="I122" s="83">
        <v>855</v>
      </c>
      <c r="J122" s="83">
        <v>805</v>
      </c>
      <c r="K122" s="83">
        <v>790</v>
      </c>
      <c r="L122" s="83">
        <v>-11920000</v>
      </c>
      <c r="M122" s="103" t="s">
        <v>442</v>
      </c>
      <c r="N122" s="214">
        <v>12381</v>
      </c>
      <c r="O122" s="214">
        <v>12412</v>
      </c>
      <c r="P122" s="216">
        <v>13.2</v>
      </c>
      <c r="Q122" s="216">
        <v>13</v>
      </c>
      <c r="R122" s="216">
        <v>12.8</v>
      </c>
      <c r="S122" s="216">
        <v>12.7</v>
      </c>
      <c r="T122" s="216">
        <v>12.6</v>
      </c>
      <c r="U122" s="216">
        <v>12.5</v>
      </c>
      <c r="V122" s="216">
        <v>12.4</v>
      </c>
      <c r="W122" s="216">
        <v>12.4</v>
      </c>
      <c r="X122" s="216">
        <v>12.3</v>
      </c>
    </row>
    <row r="123" spans="1:24" x14ac:dyDescent="0.2">
      <c r="A123" t="s">
        <v>637</v>
      </c>
      <c r="B123" s="125" t="s">
        <v>162</v>
      </c>
      <c r="C123" s="89">
        <f t="shared" si="2"/>
        <v>7.5570888779365854E-3</v>
      </c>
      <c r="D123" t="s">
        <v>526</v>
      </c>
      <c r="E123" s="89">
        <f t="shared" si="3"/>
        <v>2.6469787697332606E-2</v>
      </c>
      <c r="F123" s="214">
        <v>202900</v>
      </c>
      <c r="G123" s="83">
        <v>15690</v>
      </c>
      <c r="H123" s="83">
        <v>15335</v>
      </c>
      <c r="I123" s="83">
        <v>14695</v>
      </c>
      <c r="J123" s="83">
        <v>14015</v>
      </c>
      <c r="K123" s="83">
        <v>13745</v>
      </c>
      <c r="L123" s="83">
        <v>534655000</v>
      </c>
      <c r="M123" s="103" t="s">
        <v>162</v>
      </c>
      <c r="N123" s="214">
        <v>201535</v>
      </c>
      <c r="O123" s="214">
        <v>202900</v>
      </c>
      <c r="P123" s="216">
        <v>206</v>
      </c>
      <c r="Q123" s="216">
        <v>207.9</v>
      </c>
      <c r="R123" s="216">
        <v>209.3</v>
      </c>
      <c r="S123" s="216">
        <v>210.8</v>
      </c>
      <c r="T123" s="216">
        <v>212.5</v>
      </c>
      <c r="U123" s="216">
        <v>214</v>
      </c>
      <c r="V123" s="216">
        <v>215.3</v>
      </c>
      <c r="W123" s="216">
        <v>216.2</v>
      </c>
      <c r="X123" s="216">
        <v>216.7</v>
      </c>
    </row>
    <row r="124" spans="1:24" x14ac:dyDescent="0.2">
      <c r="A124" t="s">
        <v>637</v>
      </c>
      <c r="B124" s="125" t="s">
        <v>163</v>
      </c>
      <c r="C124" s="89">
        <f t="shared" si="2"/>
        <v>5.0871029131898697E-3</v>
      </c>
      <c r="D124" t="s">
        <v>155</v>
      </c>
      <c r="E124" s="89">
        <f t="shared" si="3"/>
        <v>2.6476578411405296E-2</v>
      </c>
      <c r="F124" s="214">
        <v>12144</v>
      </c>
      <c r="G124" s="83">
        <v>1045</v>
      </c>
      <c r="H124" s="83">
        <v>1040</v>
      </c>
      <c r="I124" s="83">
        <v>990</v>
      </c>
      <c r="J124" s="83">
        <v>920</v>
      </c>
      <c r="K124" s="83">
        <v>915</v>
      </c>
      <c r="L124" s="83">
        <v>27125000</v>
      </c>
      <c r="M124" s="103" t="s">
        <v>163</v>
      </c>
      <c r="N124" s="214">
        <v>12166</v>
      </c>
      <c r="O124" s="214">
        <v>12144</v>
      </c>
      <c r="P124" s="216">
        <v>12.4</v>
      </c>
      <c r="Q124" s="216">
        <v>12.5</v>
      </c>
      <c r="R124" s="216">
        <v>12.6</v>
      </c>
      <c r="S124" s="216">
        <v>12.6</v>
      </c>
      <c r="T124" s="216">
        <v>12.7</v>
      </c>
      <c r="U124" s="216">
        <v>12.7</v>
      </c>
      <c r="V124" s="216">
        <v>12.7</v>
      </c>
      <c r="W124" s="216">
        <v>12.7</v>
      </c>
      <c r="X124" s="216">
        <v>12.7</v>
      </c>
    </row>
    <row r="125" spans="1:24" x14ac:dyDescent="0.2">
      <c r="A125" t="s">
        <v>638</v>
      </c>
      <c r="B125" s="125" t="s">
        <v>485</v>
      </c>
      <c r="C125" s="89">
        <f t="shared" si="2"/>
        <v>4.5644969674232478E-3</v>
      </c>
      <c r="D125" t="s">
        <v>155</v>
      </c>
      <c r="E125" s="89">
        <f t="shared" si="3"/>
        <v>2.1399176954732511E-2</v>
      </c>
      <c r="F125" s="214">
        <v>14216</v>
      </c>
      <c r="G125" s="83">
        <v>1280</v>
      </c>
      <c r="H125" s="83">
        <v>1260</v>
      </c>
      <c r="I125" s="83">
        <v>1220</v>
      </c>
      <c r="J125" s="83">
        <v>1165</v>
      </c>
      <c r="K125" s="83">
        <v>1150</v>
      </c>
      <c r="L125" s="83">
        <v>1692000</v>
      </c>
      <c r="M125" s="103" t="s">
        <v>485</v>
      </c>
      <c r="N125" s="214">
        <v>14329</v>
      </c>
      <c r="O125" s="214">
        <v>14216</v>
      </c>
      <c r="P125" s="216">
        <v>14.7</v>
      </c>
      <c r="Q125" s="216">
        <v>14.8</v>
      </c>
      <c r="R125" s="216">
        <v>14.8</v>
      </c>
      <c r="S125" s="216">
        <v>14.8</v>
      </c>
      <c r="T125" s="216">
        <v>14.8</v>
      </c>
      <c r="U125" s="216">
        <v>14.8</v>
      </c>
      <c r="V125" s="216">
        <v>14.8</v>
      </c>
      <c r="W125" s="216">
        <v>14.8</v>
      </c>
      <c r="X125" s="216">
        <v>14.8</v>
      </c>
    </row>
    <row r="126" spans="1:24" x14ac:dyDescent="0.2">
      <c r="A126" t="s">
        <v>634</v>
      </c>
      <c r="B126" s="125" t="s">
        <v>205</v>
      </c>
      <c r="C126" s="89">
        <f t="shared" si="2"/>
        <v>2.2867073700578538E-5</v>
      </c>
      <c r="D126" t="s">
        <v>155</v>
      </c>
      <c r="E126" s="89">
        <f t="shared" si="3"/>
        <v>0.02</v>
      </c>
      <c r="F126" s="214">
        <v>24295</v>
      </c>
      <c r="G126" s="83">
        <v>2050</v>
      </c>
      <c r="H126" s="83">
        <v>2015</v>
      </c>
      <c r="I126" s="83">
        <v>1940</v>
      </c>
      <c r="J126" s="83">
        <v>1890</v>
      </c>
      <c r="K126" s="83">
        <v>1855</v>
      </c>
      <c r="L126" s="83">
        <v>71556000</v>
      </c>
      <c r="M126" s="103" t="s">
        <v>205</v>
      </c>
      <c r="N126" s="214">
        <v>24271</v>
      </c>
      <c r="O126" s="214">
        <v>24295</v>
      </c>
      <c r="P126" s="216">
        <v>24.3</v>
      </c>
      <c r="Q126" s="216">
        <v>24.3</v>
      </c>
      <c r="R126" s="216">
        <v>24.3</v>
      </c>
      <c r="S126" s="216">
        <v>24.3</v>
      </c>
      <c r="T126" s="216">
        <v>24.3</v>
      </c>
      <c r="U126" s="216">
        <v>24.3</v>
      </c>
      <c r="V126" s="216">
        <v>24.2</v>
      </c>
      <c r="W126" s="216">
        <v>24.3</v>
      </c>
      <c r="X126" s="216">
        <v>24.3</v>
      </c>
    </row>
    <row r="127" spans="1:24" x14ac:dyDescent="0.2">
      <c r="A127" t="s">
        <v>629</v>
      </c>
      <c r="B127" s="125" t="s">
        <v>443</v>
      </c>
      <c r="C127" s="89">
        <f t="shared" si="2"/>
        <v>-4.7959931013301206E-3</v>
      </c>
      <c r="D127" t="s">
        <v>555</v>
      </c>
      <c r="E127" s="89">
        <f t="shared" si="3"/>
        <v>2.4285714285714285E-2</v>
      </c>
      <c r="F127" s="214">
        <v>14109</v>
      </c>
      <c r="G127" s="83">
        <v>1485</v>
      </c>
      <c r="H127" s="83">
        <v>1445</v>
      </c>
      <c r="I127" s="83">
        <v>1395</v>
      </c>
      <c r="J127" s="83">
        <v>1360</v>
      </c>
      <c r="K127" s="83">
        <v>1315</v>
      </c>
      <c r="L127" s="83">
        <v>-7489000</v>
      </c>
      <c r="M127" s="103" t="s">
        <v>443</v>
      </c>
      <c r="N127" s="214">
        <v>13907</v>
      </c>
      <c r="O127" s="214">
        <v>14109</v>
      </c>
      <c r="P127" s="216">
        <v>13.7</v>
      </c>
      <c r="Q127" s="216">
        <v>13.7</v>
      </c>
      <c r="R127" s="216">
        <v>13.6</v>
      </c>
      <c r="S127" s="216">
        <v>13.6</v>
      </c>
      <c r="T127" s="216">
        <v>13.6</v>
      </c>
      <c r="U127" s="216">
        <v>13.6</v>
      </c>
      <c r="V127" s="216">
        <v>13.5</v>
      </c>
      <c r="W127" s="216">
        <v>13.5</v>
      </c>
      <c r="X127" s="216">
        <v>13.5</v>
      </c>
    </row>
    <row r="128" spans="1:24" x14ac:dyDescent="0.2">
      <c r="A128" t="s">
        <v>630</v>
      </c>
      <c r="B128" s="125" t="s">
        <v>315</v>
      </c>
      <c r="C128" s="89">
        <f t="shared" si="2"/>
        <v>1.1458100865492978E-2</v>
      </c>
      <c r="D128" t="s">
        <v>526</v>
      </c>
      <c r="E128" s="89">
        <f t="shared" si="3"/>
        <v>3.6347755979575382E-2</v>
      </c>
      <c r="F128" s="214">
        <v>159819</v>
      </c>
      <c r="G128" s="83">
        <v>16280</v>
      </c>
      <c r="H128" s="83">
        <v>15750</v>
      </c>
      <c r="I128" s="83">
        <v>14830</v>
      </c>
      <c r="J128" s="83">
        <v>13985</v>
      </c>
      <c r="K128" s="83">
        <v>13575</v>
      </c>
      <c r="L128" s="83">
        <v>536367000</v>
      </c>
      <c r="M128" s="103" t="s">
        <v>315</v>
      </c>
      <c r="N128" s="214">
        <v>159234</v>
      </c>
      <c r="O128" s="214">
        <v>159819</v>
      </c>
      <c r="P128" s="216">
        <v>161.1</v>
      </c>
      <c r="Q128" s="216">
        <v>162.69999999999999</v>
      </c>
      <c r="R128" s="216">
        <v>164.8</v>
      </c>
      <c r="S128" s="216">
        <v>167.5</v>
      </c>
      <c r="T128" s="216">
        <v>170</v>
      </c>
      <c r="U128" s="216">
        <v>172.1</v>
      </c>
      <c r="V128" s="216">
        <v>173.9</v>
      </c>
      <c r="W128" s="216">
        <v>175</v>
      </c>
      <c r="X128" s="216">
        <v>176.3</v>
      </c>
    </row>
    <row r="129" spans="1:98" x14ac:dyDescent="0.2">
      <c r="A129" t="s">
        <v>630</v>
      </c>
      <c r="B129" s="125" t="s">
        <v>521</v>
      </c>
      <c r="C129" s="89">
        <f t="shared" si="2"/>
        <v>6.2864500492312344E-3</v>
      </c>
      <c r="D129" t="s">
        <v>555</v>
      </c>
      <c r="E129" s="89">
        <f t="shared" si="3"/>
        <v>3.9473684210526314E-2</v>
      </c>
      <c r="F129" s="214">
        <v>5868</v>
      </c>
      <c r="G129" s="83">
        <v>660</v>
      </c>
      <c r="H129" s="83">
        <v>645</v>
      </c>
      <c r="I129" s="83">
        <v>625</v>
      </c>
      <c r="J129" s="83">
        <v>570</v>
      </c>
      <c r="K129" s="83">
        <v>540</v>
      </c>
      <c r="L129" s="83">
        <v>-431000</v>
      </c>
      <c r="M129" s="103" t="s">
        <v>521</v>
      </c>
      <c r="N129" s="214">
        <v>5666</v>
      </c>
      <c r="O129" s="214">
        <v>5868</v>
      </c>
      <c r="P129" s="216">
        <v>5.8</v>
      </c>
      <c r="Q129" s="216">
        <v>5.8</v>
      </c>
      <c r="R129" s="216">
        <v>5.9</v>
      </c>
      <c r="S129" s="216">
        <v>5.9</v>
      </c>
      <c r="T129" s="216">
        <v>6</v>
      </c>
      <c r="U129" s="216">
        <v>6</v>
      </c>
      <c r="V129" s="216">
        <v>6.1</v>
      </c>
      <c r="W129" s="216">
        <v>6.1</v>
      </c>
      <c r="X129" s="216">
        <v>6.2</v>
      </c>
    </row>
    <row r="130" spans="1:98" x14ac:dyDescent="0.2">
      <c r="A130" t="s">
        <v>630</v>
      </c>
      <c r="B130" s="125" t="s">
        <v>316</v>
      </c>
      <c r="C130" s="89">
        <f t="shared" si="2"/>
        <v>9.2764826305443537E-3</v>
      </c>
      <c r="D130" t="s">
        <v>555</v>
      </c>
      <c r="E130" s="89">
        <f t="shared" si="3"/>
        <v>1.9655847789591493E-2</v>
      </c>
      <c r="F130" s="214">
        <v>147302</v>
      </c>
      <c r="G130" s="83">
        <v>14990</v>
      </c>
      <c r="H130" s="83">
        <v>14770</v>
      </c>
      <c r="I130" s="83">
        <v>14310</v>
      </c>
      <c r="J130" s="83">
        <v>13825</v>
      </c>
      <c r="K130" s="83">
        <v>13585</v>
      </c>
      <c r="L130" s="83">
        <v>243924000</v>
      </c>
      <c r="M130" s="103" t="s">
        <v>316</v>
      </c>
      <c r="N130" s="214">
        <v>145989</v>
      </c>
      <c r="O130" s="214">
        <v>147302</v>
      </c>
      <c r="P130" s="216">
        <v>147.80000000000001</v>
      </c>
      <c r="Q130" s="216">
        <v>149.30000000000001</v>
      </c>
      <c r="R130" s="216">
        <v>150.80000000000001</v>
      </c>
      <c r="S130" s="216">
        <v>152.4</v>
      </c>
      <c r="T130" s="216">
        <v>154</v>
      </c>
      <c r="U130" s="216">
        <v>155.5</v>
      </c>
      <c r="V130" s="216">
        <v>156.9</v>
      </c>
      <c r="W130" s="216">
        <v>158.30000000000001</v>
      </c>
      <c r="X130" s="216">
        <v>159.6</v>
      </c>
    </row>
    <row r="131" spans="1:98" x14ac:dyDescent="0.2">
      <c r="A131" t="s">
        <v>629</v>
      </c>
      <c r="B131" s="125" t="s">
        <v>444</v>
      </c>
      <c r="C131" s="89">
        <f t="shared" ref="C131:C194" si="4">(SUM(X131*1000,-O131)/9)/O131</f>
        <v>-1.8141803473709255E-3</v>
      </c>
      <c r="D131" t="s">
        <v>155</v>
      </c>
      <c r="E131" s="89">
        <f t="shared" ref="E131:E194" si="5">SUM(G131,-K131)/SUM(G131,H131,I131,J131,K131)</f>
        <v>1.249024199843872E-2</v>
      </c>
      <c r="F131" s="214">
        <v>29888</v>
      </c>
      <c r="G131" s="83">
        <v>2635</v>
      </c>
      <c r="H131" s="83">
        <v>2615</v>
      </c>
      <c r="I131" s="83">
        <v>2585</v>
      </c>
      <c r="J131" s="83">
        <v>2500</v>
      </c>
      <c r="K131" s="83">
        <v>2475</v>
      </c>
      <c r="L131" s="83">
        <v>46405000</v>
      </c>
      <c r="M131" s="103" t="s">
        <v>444</v>
      </c>
      <c r="N131" s="214">
        <v>29581</v>
      </c>
      <c r="O131" s="214">
        <v>29888</v>
      </c>
      <c r="P131" s="216">
        <v>29.6</v>
      </c>
      <c r="Q131" s="216">
        <v>29.6</v>
      </c>
      <c r="R131" s="216">
        <v>29.6</v>
      </c>
      <c r="S131" s="216">
        <v>29.6</v>
      </c>
      <c r="T131" s="216">
        <v>29.6</v>
      </c>
      <c r="U131" s="216">
        <v>29.6</v>
      </c>
      <c r="V131" s="216">
        <v>29.6</v>
      </c>
      <c r="W131" s="216">
        <v>29.5</v>
      </c>
      <c r="X131" s="216">
        <v>29.4</v>
      </c>
    </row>
    <row r="132" spans="1:98" x14ac:dyDescent="0.2">
      <c r="A132" t="s">
        <v>634</v>
      </c>
      <c r="B132" s="125" t="s">
        <v>206</v>
      </c>
      <c r="C132" s="89">
        <f t="shared" si="4"/>
        <v>-2.8496615453496199E-3</v>
      </c>
      <c r="D132" t="s">
        <v>155</v>
      </c>
      <c r="E132" s="89">
        <f t="shared" si="5"/>
        <v>1.899441340782123E-2</v>
      </c>
      <c r="F132" s="214">
        <v>60553</v>
      </c>
      <c r="G132" s="83">
        <v>4720</v>
      </c>
      <c r="H132" s="83">
        <v>4590</v>
      </c>
      <c r="I132" s="83">
        <v>4455</v>
      </c>
      <c r="J132" s="83">
        <v>4315</v>
      </c>
      <c r="K132" s="83">
        <v>4295</v>
      </c>
      <c r="L132" s="83">
        <v>140119000</v>
      </c>
      <c r="M132" s="103" t="s">
        <v>206</v>
      </c>
      <c r="N132" s="214">
        <v>60196</v>
      </c>
      <c r="O132" s="214">
        <v>60553</v>
      </c>
      <c r="P132" s="216">
        <v>59.5</v>
      </c>
      <c r="Q132" s="216">
        <v>59.4</v>
      </c>
      <c r="R132" s="216">
        <v>59.3</v>
      </c>
      <c r="S132" s="216">
        <v>59.3</v>
      </c>
      <c r="T132" s="216">
        <v>59.2</v>
      </c>
      <c r="U132" s="216">
        <v>59.1</v>
      </c>
      <c r="V132" s="216">
        <v>59.1</v>
      </c>
      <c r="W132" s="216">
        <v>59</v>
      </c>
      <c r="X132" s="216">
        <v>59</v>
      </c>
    </row>
    <row r="133" spans="1:98" x14ac:dyDescent="0.2">
      <c r="A133" t="s">
        <v>631</v>
      </c>
      <c r="B133" s="125" t="s">
        <v>242</v>
      </c>
      <c r="C133" s="89">
        <f t="shared" si="4"/>
        <v>-1.0296413336939451E-3</v>
      </c>
      <c r="D133" t="s">
        <v>526</v>
      </c>
      <c r="E133" s="89">
        <f t="shared" si="5"/>
        <v>2.564102564102564E-2</v>
      </c>
      <c r="F133" s="214">
        <v>46834</v>
      </c>
      <c r="G133" s="83">
        <v>3690</v>
      </c>
      <c r="H133" s="83">
        <v>3580</v>
      </c>
      <c r="I133" s="83">
        <v>3510</v>
      </c>
      <c r="J133" s="83">
        <v>3330</v>
      </c>
      <c r="K133" s="83">
        <v>3245</v>
      </c>
      <c r="L133" s="83">
        <v>23870000</v>
      </c>
      <c r="M133" s="103" t="s">
        <v>242</v>
      </c>
      <c r="N133" s="214">
        <v>46358</v>
      </c>
      <c r="O133" s="214">
        <v>46834</v>
      </c>
      <c r="P133" s="216">
        <v>45.9</v>
      </c>
      <c r="Q133" s="216">
        <v>45.9</v>
      </c>
      <c r="R133" s="216">
        <v>46</v>
      </c>
      <c r="S133" s="216">
        <v>46</v>
      </c>
      <c r="T133" s="216">
        <v>46</v>
      </c>
      <c r="U133" s="216">
        <v>46.1</v>
      </c>
      <c r="V133" s="216">
        <v>46.1</v>
      </c>
      <c r="W133" s="216">
        <v>46.2</v>
      </c>
      <c r="X133" s="216">
        <v>46.4</v>
      </c>
    </row>
    <row r="134" spans="1:98" s="105" customFormat="1" x14ac:dyDescent="0.2">
      <c r="A134" s="105" t="s">
        <v>633</v>
      </c>
      <c r="B134" s="125" t="s">
        <v>361</v>
      </c>
      <c r="C134" s="89">
        <f t="shared" si="4"/>
        <v>-3.5269439958419187E-4</v>
      </c>
      <c r="D134" t="s">
        <v>555</v>
      </c>
      <c r="E134" s="89">
        <f t="shared" si="5"/>
        <v>2.5374105400130124E-2</v>
      </c>
      <c r="F134" s="214">
        <v>17957</v>
      </c>
      <c r="G134" s="105">
        <v>1640</v>
      </c>
      <c r="H134" s="105">
        <v>1605</v>
      </c>
      <c r="I134" s="104">
        <v>1525</v>
      </c>
      <c r="J134" s="83">
        <v>1470</v>
      </c>
      <c r="K134" s="104">
        <v>1445</v>
      </c>
      <c r="L134" s="104">
        <v>43676000</v>
      </c>
      <c r="M134" s="106" t="s">
        <v>361</v>
      </c>
      <c r="N134" s="214">
        <v>17866</v>
      </c>
      <c r="O134" s="214">
        <v>17957</v>
      </c>
      <c r="P134" s="216">
        <v>17.899999999999999</v>
      </c>
      <c r="Q134" s="216">
        <v>17.899999999999999</v>
      </c>
      <c r="R134" s="216">
        <v>17.899999999999999</v>
      </c>
      <c r="S134" s="216">
        <v>17.899999999999999</v>
      </c>
      <c r="T134" s="216">
        <v>17.899999999999999</v>
      </c>
      <c r="U134" s="216">
        <v>17.899999999999999</v>
      </c>
      <c r="V134" s="216">
        <v>17.899999999999999</v>
      </c>
      <c r="W134" s="216">
        <v>17.899999999999999</v>
      </c>
      <c r="X134" s="216">
        <v>17.899999999999999</v>
      </c>
      <c r="Y134"/>
      <c r="Z134"/>
      <c r="AA134"/>
      <c r="AB134"/>
      <c r="AC134"/>
      <c r="AD134"/>
      <c r="AE134"/>
      <c r="AF134"/>
      <c r="AG134"/>
      <c r="AH134"/>
      <c r="AI134"/>
      <c r="AJ134"/>
      <c r="AK134"/>
      <c r="AL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row>
    <row r="135" spans="1:98" x14ac:dyDescent="0.2">
      <c r="A135" t="s">
        <v>637</v>
      </c>
      <c r="B135" s="125" t="s">
        <v>164</v>
      </c>
      <c r="C135" s="89">
        <f t="shared" si="4"/>
        <v>4.6238056100683786E-3</v>
      </c>
      <c r="D135" t="s">
        <v>555</v>
      </c>
      <c r="E135" s="89">
        <f t="shared" si="5"/>
        <v>3.3052495139338951E-2</v>
      </c>
      <c r="F135" s="214">
        <v>19873</v>
      </c>
      <c r="G135" s="83">
        <v>1675</v>
      </c>
      <c r="H135" s="83">
        <v>1605</v>
      </c>
      <c r="I135" s="83">
        <v>1545</v>
      </c>
      <c r="J135" s="83">
        <v>1470</v>
      </c>
      <c r="K135" s="83">
        <v>1420</v>
      </c>
      <c r="L135" s="83">
        <v>73850000</v>
      </c>
      <c r="M135" s="103" t="s">
        <v>164</v>
      </c>
      <c r="N135" s="214">
        <v>19581</v>
      </c>
      <c r="O135" s="214">
        <v>19873</v>
      </c>
      <c r="P135" s="216">
        <v>19.7</v>
      </c>
      <c r="Q135" s="216">
        <v>19.899999999999999</v>
      </c>
      <c r="R135" s="216">
        <v>20.100000000000001</v>
      </c>
      <c r="S135" s="216">
        <v>20.2</v>
      </c>
      <c r="T135" s="216">
        <v>20.399999999999999</v>
      </c>
      <c r="U135" s="216">
        <v>20.5</v>
      </c>
      <c r="V135" s="216">
        <v>20.5</v>
      </c>
      <c r="W135" s="216">
        <v>20.6</v>
      </c>
      <c r="X135" s="216">
        <v>20.7</v>
      </c>
      <c r="Y135" s="105"/>
      <c r="Z135" s="105"/>
      <c r="AA135" s="105"/>
      <c r="AB135" s="105"/>
      <c r="AC135" s="105"/>
      <c r="AD135" s="105"/>
      <c r="AE135" s="105"/>
      <c r="AF135" s="105"/>
      <c r="AG135" s="105"/>
      <c r="AH135" s="105"/>
      <c r="AI135" s="105"/>
      <c r="AJ135" s="105"/>
      <c r="AK135" s="105"/>
      <c r="AL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05"/>
      <c r="BZ135" s="105"/>
      <c r="CA135" s="105"/>
      <c r="CB135" s="105"/>
      <c r="CC135" s="105"/>
      <c r="CD135" s="105"/>
      <c r="CE135" s="105"/>
      <c r="CF135" s="105"/>
      <c r="CG135" s="105"/>
      <c r="CH135" s="105"/>
      <c r="CI135" s="105"/>
      <c r="CJ135" s="105"/>
      <c r="CK135" s="105"/>
      <c r="CL135" s="105"/>
      <c r="CM135" s="105"/>
      <c r="CN135" s="105"/>
      <c r="CO135" s="105"/>
      <c r="CP135" s="105"/>
      <c r="CQ135" s="105"/>
      <c r="CR135" s="105"/>
      <c r="CS135" s="105"/>
      <c r="CT135" s="105"/>
    </row>
    <row r="136" spans="1:98" s="105" customFormat="1" x14ac:dyDescent="0.2">
      <c r="A136" s="105" t="s">
        <v>632</v>
      </c>
      <c r="B136" s="125" t="s">
        <v>185</v>
      </c>
      <c r="C136" s="89">
        <f t="shared" si="4"/>
        <v>7.7409729699298398E-5</v>
      </c>
      <c r="D136" t="s">
        <v>526</v>
      </c>
      <c r="E136" s="89">
        <f t="shared" si="5"/>
        <v>1.7087667161961365E-2</v>
      </c>
      <c r="F136" s="214">
        <v>15789</v>
      </c>
      <c r="G136" s="105">
        <v>1405</v>
      </c>
      <c r="H136" s="105">
        <v>1415</v>
      </c>
      <c r="I136" s="104">
        <v>1335</v>
      </c>
      <c r="J136" s="83">
        <v>1285</v>
      </c>
      <c r="K136" s="104">
        <v>1290</v>
      </c>
      <c r="L136" s="104">
        <v>6999000</v>
      </c>
      <c r="M136" s="106" t="s">
        <v>185</v>
      </c>
      <c r="N136" s="214">
        <v>15864</v>
      </c>
      <c r="O136" s="214">
        <v>15789</v>
      </c>
      <c r="P136" s="216">
        <v>15.9</v>
      </c>
      <c r="Q136" s="216">
        <v>15.9</v>
      </c>
      <c r="R136" s="216">
        <v>16</v>
      </c>
      <c r="S136" s="216">
        <v>16</v>
      </c>
      <c r="T136" s="216">
        <v>15.9</v>
      </c>
      <c r="U136" s="216">
        <v>15.9</v>
      </c>
      <c r="V136" s="216">
        <v>15.9</v>
      </c>
      <c r="W136" s="216">
        <v>15.8</v>
      </c>
      <c r="X136" s="216">
        <v>15.8</v>
      </c>
      <c r="Y136"/>
      <c r="Z136"/>
      <c r="AA136"/>
      <c r="AB136"/>
      <c r="AC136"/>
      <c r="AD136"/>
      <c r="AE136"/>
      <c r="AF136"/>
      <c r="AG136"/>
      <c r="AH136"/>
      <c r="AI136"/>
      <c r="AJ136"/>
      <c r="AK136"/>
      <c r="AL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row>
    <row r="137" spans="1:98" x14ac:dyDescent="0.2">
      <c r="A137" t="s">
        <v>634</v>
      </c>
      <c r="B137" s="125" t="s">
        <v>243</v>
      </c>
      <c r="C137" s="89">
        <f t="shared" si="4"/>
        <v>1.3069744911482183E-3</v>
      </c>
      <c r="D137" t="s">
        <v>555</v>
      </c>
      <c r="E137" s="89">
        <f t="shared" si="5"/>
        <v>2.0524515393386546E-2</v>
      </c>
      <c r="F137" s="214">
        <v>12157</v>
      </c>
      <c r="G137" s="83">
        <v>925</v>
      </c>
      <c r="H137" s="83">
        <v>905</v>
      </c>
      <c r="I137" s="83">
        <v>865</v>
      </c>
      <c r="J137" s="83">
        <v>855</v>
      </c>
      <c r="K137" s="83">
        <v>835</v>
      </c>
      <c r="L137" s="83">
        <v>15460000</v>
      </c>
      <c r="M137" s="103" t="s">
        <v>243</v>
      </c>
      <c r="N137" s="215">
        <v>12036</v>
      </c>
      <c r="O137" s="214">
        <v>12157</v>
      </c>
      <c r="P137" s="216">
        <v>12</v>
      </c>
      <c r="Q137" s="216">
        <v>12</v>
      </c>
      <c r="R137" s="216">
        <v>12</v>
      </c>
      <c r="S137" s="216">
        <v>12</v>
      </c>
      <c r="T137" s="216">
        <v>12.1</v>
      </c>
      <c r="U137" s="216">
        <v>12.1</v>
      </c>
      <c r="V137" s="216">
        <v>12.2</v>
      </c>
      <c r="W137" s="216">
        <v>12.2</v>
      </c>
      <c r="X137" s="216">
        <v>12.3</v>
      </c>
      <c r="Y137" s="105"/>
      <c r="Z137" s="105"/>
      <c r="AA137" s="105"/>
      <c r="AB137" s="105"/>
      <c r="AC137" s="105"/>
      <c r="AD137" s="105"/>
      <c r="AE137" s="105"/>
      <c r="AF137" s="105"/>
      <c r="AG137" s="105"/>
      <c r="AH137" s="105"/>
      <c r="AI137" s="105"/>
      <c r="AJ137" s="105"/>
      <c r="AK137" s="105"/>
      <c r="AL137" s="105"/>
      <c r="AN137" s="10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05"/>
      <c r="BZ137" s="105"/>
      <c r="CA137" s="105"/>
      <c r="CB137" s="105"/>
      <c r="CC137" s="105"/>
      <c r="CD137" s="105"/>
      <c r="CE137" s="105"/>
      <c r="CF137" s="105"/>
      <c r="CG137" s="105"/>
      <c r="CH137" s="105"/>
      <c r="CI137" s="105"/>
      <c r="CJ137" s="105"/>
      <c r="CK137" s="105"/>
      <c r="CL137" s="105"/>
      <c r="CM137" s="105"/>
      <c r="CN137" s="105"/>
      <c r="CO137" s="105"/>
      <c r="CP137" s="105"/>
      <c r="CQ137" s="105"/>
      <c r="CR137" s="105"/>
      <c r="CS137" s="105"/>
      <c r="CT137" s="105"/>
    </row>
    <row r="138" spans="1:98" x14ac:dyDescent="0.2">
      <c r="A138" t="s">
        <v>630</v>
      </c>
      <c r="B138" s="125" t="s">
        <v>317</v>
      </c>
      <c r="C138" s="89">
        <f t="shared" si="4"/>
        <v>7.1237806556716363E-4</v>
      </c>
      <c r="D138" t="s">
        <v>155</v>
      </c>
      <c r="E138" s="89">
        <f t="shared" si="5"/>
        <v>2.0764119601328904E-2</v>
      </c>
      <c r="F138" s="214">
        <v>39149</v>
      </c>
      <c r="G138" s="83">
        <v>2515</v>
      </c>
      <c r="H138" s="83">
        <v>2495</v>
      </c>
      <c r="I138" s="83">
        <v>2430</v>
      </c>
      <c r="J138" s="83">
        <v>2335</v>
      </c>
      <c r="K138" s="83">
        <v>2265</v>
      </c>
      <c r="L138" s="83">
        <v>29644000</v>
      </c>
      <c r="M138" s="103" t="s">
        <v>317</v>
      </c>
      <c r="N138" s="214">
        <v>39171</v>
      </c>
      <c r="O138" s="214">
        <v>39149</v>
      </c>
      <c r="P138" s="216">
        <v>39.200000000000003</v>
      </c>
      <c r="Q138" s="216">
        <v>39.200000000000003</v>
      </c>
      <c r="R138" s="216">
        <v>39.200000000000003</v>
      </c>
      <c r="S138" s="216">
        <v>39.200000000000003</v>
      </c>
      <c r="T138" s="216">
        <v>39.200000000000003</v>
      </c>
      <c r="U138" s="216">
        <v>39.200000000000003</v>
      </c>
      <c r="V138" s="216">
        <v>39.200000000000003</v>
      </c>
      <c r="W138" s="216">
        <v>39.299999999999997</v>
      </c>
      <c r="X138" s="216">
        <v>39.4</v>
      </c>
    </row>
    <row r="139" spans="1:98" x14ac:dyDescent="0.2">
      <c r="A139" t="s">
        <v>630</v>
      </c>
      <c r="B139" s="125" t="s">
        <v>318</v>
      </c>
      <c r="C139" s="89">
        <f t="shared" si="4"/>
        <v>1.7232890201870998E-3</v>
      </c>
      <c r="D139" t="s">
        <v>555</v>
      </c>
      <c r="E139" s="89">
        <f t="shared" si="5"/>
        <v>2.3818384815779681E-2</v>
      </c>
      <c r="F139" s="214">
        <v>27080</v>
      </c>
      <c r="G139" s="83">
        <v>2855</v>
      </c>
      <c r="H139" s="83">
        <v>2765</v>
      </c>
      <c r="I139" s="83">
        <v>2690</v>
      </c>
      <c r="J139" s="83">
        <v>2590</v>
      </c>
      <c r="K139" s="83">
        <v>2535</v>
      </c>
      <c r="L139" s="83">
        <v>37429000</v>
      </c>
      <c r="M139" s="103" t="s">
        <v>318</v>
      </c>
      <c r="N139" s="215">
        <v>26920</v>
      </c>
      <c r="O139" s="214">
        <v>27080</v>
      </c>
      <c r="P139" s="216">
        <v>27.3</v>
      </c>
      <c r="Q139" s="216">
        <v>27.5</v>
      </c>
      <c r="R139" s="216">
        <v>27.6</v>
      </c>
      <c r="S139" s="216">
        <v>27.7</v>
      </c>
      <c r="T139" s="216">
        <v>27.5</v>
      </c>
      <c r="U139" s="216">
        <v>27.3</v>
      </c>
      <c r="V139" s="216">
        <v>27.3</v>
      </c>
      <c r="W139" s="216">
        <v>27.4</v>
      </c>
      <c r="X139" s="216">
        <v>27.5</v>
      </c>
    </row>
    <row r="140" spans="1:98" x14ac:dyDescent="0.2">
      <c r="A140" t="s">
        <v>631</v>
      </c>
      <c r="B140" s="125" t="s">
        <v>244</v>
      </c>
      <c r="C140" s="89">
        <f t="shared" si="4"/>
        <v>5.3262634947931599E-3</v>
      </c>
      <c r="D140" t="s">
        <v>555</v>
      </c>
      <c r="E140" s="89">
        <f t="shared" si="5"/>
        <v>2.7972027972027972E-2</v>
      </c>
      <c r="F140" s="214">
        <v>18608</v>
      </c>
      <c r="G140" s="83">
        <v>1380</v>
      </c>
      <c r="H140" s="83">
        <v>1340</v>
      </c>
      <c r="I140" s="83">
        <v>1285</v>
      </c>
      <c r="J140" s="83">
        <v>1230</v>
      </c>
      <c r="K140" s="83">
        <v>1200</v>
      </c>
      <c r="L140" s="83">
        <v>17168000</v>
      </c>
      <c r="M140" s="103" t="s">
        <v>244</v>
      </c>
      <c r="N140" s="214">
        <v>18563</v>
      </c>
      <c r="O140" s="214">
        <v>18608</v>
      </c>
      <c r="P140" s="216">
        <v>18.899999999999999</v>
      </c>
      <c r="Q140" s="216">
        <v>18.899999999999999</v>
      </c>
      <c r="R140" s="216">
        <v>19</v>
      </c>
      <c r="S140" s="216">
        <v>19.100000000000001</v>
      </c>
      <c r="T140" s="216">
        <v>19.2</v>
      </c>
      <c r="U140" s="216">
        <v>19.2</v>
      </c>
      <c r="V140" s="216">
        <v>19.3</v>
      </c>
      <c r="W140" s="216">
        <v>19.399999999999999</v>
      </c>
      <c r="X140" s="216">
        <v>19.5</v>
      </c>
    </row>
    <row r="141" spans="1:98" x14ac:dyDescent="0.2">
      <c r="A141" t="s">
        <v>632</v>
      </c>
      <c r="B141" s="125" t="s">
        <v>186</v>
      </c>
      <c r="C141" s="89">
        <f t="shared" si="4"/>
        <v>5.090748118636565E-3</v>
      </c>
      <c r="D141" t="s">
        <v>526</v>
      </c>
      <c r="E141" s="89">
        <f t="shared" si="5"/>
        <v>2.9475197699496764E-2</v>
      </c>
      <c r="F141" s="214">
        <v>50200</v>
      </c>
      <c r="G141" s="83">
        <v>4450</v>
      </c>
      <c r="H141" s="83">
        <v>4400</v>
      </c>
      <c r="I141" s="83">
        <v>4220</v>
      </c>
      <c r="J141" s="83">
        <v>3960</v>
      </c>
      <c r="K141" s="83">
        <v>3835</v>
      </c>
      <c r="L141" s="83">
        <v>192109000</v>
      </c>
      <c r="M141" s="103" t="s">
        <v>186</v>
      </c>
      <c r="N141" s="214">
        <v>50201</v>
      </c>
      <c r="O141" s="214">
        <v>50200</v>
      </c>
      <c r="P141" s="216">
        <v>50.9</v>
      </c>
      <c r="Q141" s="216">
        <v>51.4</v>
      </c>
      <c r="R141" s="216">
        <v>51.7</v>
      </c>
      <c r="S141" s="216">
        <v>51.8</v>
      </c>
      <c r="T141" s="216">
        <v>52</v>
      </c>
      <c r="U141" s="216">
        <v>52.1</v>
      </c>
      <c r="V141" s="216">
        <v>52.3</v>
      </c>
      <c r="W141" s="216">
        <v>52.4</v>
      </c>
      <c r="X141" s="216">
        <v>52.5</v>
      </c>
    </row>
    <row r="142" spans="1:98" x14ac:dyDescent="0.2">
      <c r="A142" t="s">
        <v>630</v>
      </c>
      <c r="B142" s="125" t="s">
        <v>319</v>
      </c>
      <c r="C142" s="89">
        <f t="shared" si="4"/>
        <v>2.6491014534259327E-3</v>
      </c>
      <c r="D142" t="s">
        <v>155</v>
      </c>
      <c r="E142" s="89">
        <f t="shared" si="5"/>
        <v>2.2121535181236673E-2</v>
      </c>
      <c r="F142" s="214">
        <v>55868</v>
      </c>
      <c r="G142" s="83">
        <v>3980</v>
      </c>
      <c r="H142" s="83">
        <v>3880</v>
      </c>
      <c r="I142" s="83">
        <v>3730</v>
      </c>
      <c r="J142" s="83">
        <v>3605</v>
      </c>
      <c r="K142" s="83">
        <v>3565</v>
      </c>
      <c r="L142" s="83">
        <v>117982000</v>
      </c>
      <c r="M142" s="103" t="s">
        <v>319</v>
      </c>
      <c r="N142" s="214">
        <v>54937</v>
      </c>
      <c r="O142" s="214">
        <v>55868</v>
      </c>
      <c r="P142" s="216">
        <v>54.7</v>
      </c>
      <c r="Q142" s="216">
        <v>54.9</v>
      </c>
      <c r="R142" s="216">
        <v>55.2</v>
      </c>
      <c r="S142" s="216">
        <v>55.5</v>
      </c>
      <c r="T142" s="216">
        <v>56</v>
      </c>
      <c r="U142" s="216">
        <v>56.5</v>
      </c>
      <c r="V142" s="216">
        <v>56.7</v>
      </c>
      <c r="W142" s="216">
        <v>57</v>
      </c>
      <c r="X142" s="216">
        <v>57.2</v>
      </c>
    </row>
    <row r="143" spans="1:98" x14ac:dyDescent="0.2">
      <c r="A143" t="s">
        <v>638</v>
      </c>
      <c r="B143" s="125" t="s">
        <v>486</v>
      </c>
      <c r="C143" s="89">
        <f t="shared" si="4"/>
        <v>-1.6880585534912351E-3</v>
      </c>
      <c r="D143" t="s">
        <v>526</v>
      </c>
      <c r="E143" s="89">
        <f t="shared" si="5"/>
        <v>1.2072036414011479E-2</v>
      </c>
      <c r="F143" s="214">
        <v>86819</v>
      </c>
      <c r="G143" s="83">
        <v>5265</v>
      </c>
      <c r="H143" s="83">
        <v>5120</v>
      </c>
      <c r="I143" s="83">
        <v>5010</v>
      </c>
      <c r="J143" s="83">
        <v>4910</v>
      </c>
      <c r="K143" s="83">
        <v>4960</v>
      </c>
      <c r="L143" s="83">
        <v>107062000</v>
      </c>
      <c r="M143" s="103" t="s">
        <v>486</v>
      </c>
      <c r="N143" s="214">
        <v>87202</v>
      </c>
      <c r="O143" s="214">
        <v>86819</v>
      </c>
      <c r="P143" s="216">
        <v>87</v>
      </c>
      <c r="Q143" s="216">
        <v>86.9</v>
      </c>
      <c r="R143" s="216">
        <v>86.7</v>
      </c>
      <c r="S143" s="216">
        <v>86.4</v>
      </c>
      <c r="T143" s="216">
        <v>86.2</v>
      </c>
      <c r="U143" s="216">
        <v>86</v>
      </c>
      <c r="V143" s="216">
        <v>85.8</v>
      </c>
      <c r="W143" s="216">
        <v>85.6</v>
      </c>
      <c r="X143" s="216">
        <v>85.5</v>
      </c>
    </row>
    <row r="144" spans="1:98" x14ac:dyDescent="0.2">
      <c r="A144" t="s">
        <v>629</v>
      </c>
      <c r="B144" s="125" t="s">
        <v>445</v>
      </c>
      <c r="C144" s="89">
        <f t="shared" si="4"/>
        <v>8.4534222725651843E-3</v>
      </c>
      <c r="D144" t="s">
        <v>555</v>
      </c>
      <c r="E144" s="89">
        <f t="shared" si="5"/>
        <v>2.1356783919597989E-2</v>
      </c>
      <c r="F144" s="214">
        <v>15891</v>
      </c>
      <c r="G144" s="83">
        <v>1680</v>
      </c>
      <c r="H144" s="83">
        <v>1620</v>
      </c>
      <c r="I144" s="83">
        <v>1590</v>
      </c>
      <c r="J144" s="83">
        <v>1560</v>
      </c>
      <c r="K144" s="83">
        <v>1510</v>
      </c>
      <c r="L144" s="83">
        <v>11093000</v>
      </c>
      <c r="M144" s="103" t="s">
        <v>445</v>
      </c>
      <c r="N144" s="214">
        <v>15713</v>
      </c>
      <c r="O144" s="214">
        <v>15891</v>
      </c>
      <c r="P144" s="216">
        <v>16.100000000000001</v>
      </c>
      <c r="Q144" s="216">
        <v>16.2</v>
      </c>
      <c r="R144" s="216">
        <v>16.399999999999999</v>
      </c>
      <c r="S144" s="216">
        <v>16.5</v>
      </c>
      <c r="T144" s="216">
        <v>16.600000000000001</v>
      </c>
      <c r="U144" s="216">
        <v>16.7</v>
      </c>
      <c r="V144" s="216">
        <v>16.8</v>
      </c>
      <c r="W144" s="216">
        <v>17</v>
      </c>
      <c r="X144" s="216">
        <v>17.100000000000001</v>
      </c>
    </row>
    <row r="145" spans="1:24" x14ac:dyDescent="0.2">
      <c r="A145" t="s">
        <v>630</v>
      </c>
      <c r="B145" s="125" t="s">
        <v>320</v>
      </c>
      <c r="C145" s="89">
        <f t="shared" si="4"/>
        <v>1.4332573418366858E-3</v>
      </c>
      <c r="D145" t="s">
        <v>555</v>
      </c>
      <c r="E145" s="89">
        <f t="shared" si="5"/>
        <v>2.6016260162601626E-2</v>
      </c>
      <c r="F145" s="214">
        <v>23102</v>
      </c>
      <c r="G145" s="83">
        <v>1955</v>
      </c>
      <c r="H145" s="83">
        <v>1925</v>
      </c>
      <c r="I145" s="83">
        <v>1865</v>
      </c>
      <c r="J145" s="83">
        <v>1765</v>
      </c>
      <c r="K145" s="83">
        <v>1715</v>
      </c>
      <c r="L145" s="83">
        <v>51580000</v>
      </c>
      <c r="M145" s="103" t="s">
        <v>320</v>
      </c>
      <c r="N145" s="214">
        <v>22851</v>
      </c>
      <c r="O145" s="214">
        <v>23102</v>
      </c>
      <c r="P145" s="216">
        <v>23</v>
      </c>
      <c r="Q145" s="216">
        <v>23.1</v>
      </c>
      <c r="R145" s="216">
        <v>23.1</v>
      </c>
      <c r="S145" s="216">
        <v>23.1</v>
      </c>
      <c r="T145" s="216">
        <v>23.2</v>
      </c>
      <c r="U145" s="216">
        <v>23.2</v>
      </c>
      <c r="V145" s="216">
        <v>23.3</v>
      </c>
      <c r="W145" s="216">
        <v>23.4</v>
      </c>
      <c r="X145" s="216">
        <v>23.4</v>
      </c>
    </row>
    <row r="146" spans="1:24" x14ac:dyDescent="0.2">
      <c r="A146" t="s">
        <v>634</v>
      </c>
      <c r="B146" s="125" t="s">
        <v>207</v>
      </c>
      <c r="C146" s="89">
        <f t="shared" si="4"/>
        <v>-6.4541753549796446E-4</v>
      </c>
      <c r="D146" t="s">
        <v>155</v>
      </c>
      <c r="E146" s="89">
        <f t="shared" si="5"/>
        <v>1.9894437677628909E-2</v>
      </c>
      <c r="F146" s="214">
        <v>35808</v>
      </c>
      <c r="G146" s="83">
        <v>2585</v>
      </c>
      <c r="H146" s="83">
        <v>2550</v>
      </c>
      <c r="I146" s="83">
        <v>2460</v>
      </c>
      <c r="J146" s="83">
        <v>2380</v>
      </c>
      <c r="K146" s="83">
        <v>2340</v>
      </c>
      <c r="L146" s="83">
        <v>121914000</v>
      </c>
      <c r="M146" s="103" t="s">
        <v>207</v>
      </c>
      <c r="N146" s="214">
        <v>35774</v>
      </c>
      <c r="O146" s="214">
        <v>35808</v>
      </c>
      <c r="P146" s="216">
        <v>35.6</v>
      </c>
      <c r="Q146" s="216">
        <v>35.6</v>
      </c>
      <c r="R146" s="216">
        <v>35.6</v>
      </c>
      <c r="S146" s="216">
        <v>35.6</v>
      </c>
      <c r="T146" s="216">
        <v>35.700000000000003</v>
      </c>
      <c r="U146" s="216">
        <v>35.6</v>
      </c>
      <c r="V146" s="216">
        <v>35.6</v>
      </c>
      <c r="W146" s="216">
        <v>35.6</v>
      </c>
      <c r="X146" s="216">
        <v>35.6</v>
      </c>
    </row>
    <row r="147" spans="1:24" x14ac:dyDescent="0.2">
      <c r="A147" t="s">
        <v>633</v>
      </c>
      <c r="B147" s="125" t="s">
        <v>362</v>
      </c>
      <c r="C147" s="89">
        <f t="shared" si="4"/>
        <v>2.6594220342285959E-3</v>
      </c>
      <c r="D147" t="s">
        <v>155</v>
      </c>
      <c r="E147" s="89">
        <f t="shared" si="5"/>
        <v>1.9019442096365174E-2</v>
      </c>
      <c r="F147" s="214">
        <v>38772</v>
      </c>
      <c r="G147" s="83">
        <v>2460</v>
      </c>
      <c r="H147" s="83">
        <v>2445</v>
      </c>
      <c r="I147" s="83">
        <v>2395</v>
      </c>
      <c r="J147" s="83">
        <v>2295</v>
      </c>
      <c r="K147" s="83">
        <v>2235</v>
      </c>
      <c r="L147" s="83">
        <v>67975000</v>
      </c>
      <c r="M147" s="103" t="s">
        <v>362</v>
      </c>
      <c r="N147" s="214">
        <v>38721</v>
      </c>
      <c r="O147" s="214">
        <v>38772</v>
      </c>
      <c r="P147" s="216">
        <v>39</v>
      </c>
      <c r="Q147" s="216">
        <v>39.1</v>
      </c>
      <c r="R147" s="216">
        <v>39</v>
      </c>
      <c r="S147" s="216">
        <v>39.200000000000003</v>
      </c>
      <c r="T147" s="216">
        <v>39.4</v>
      </c>
      <c r="U147" s="216">
        <v>39.6</v>
      </c>
      <c r="V147" s="216">
        <v>39.700000000000003</v>
      </c>
      <c r="W147" s="216">
        <v>39.700000000000003</v>
      </c>
      <c r="X147" s="216">
        <v>39.700000000000003</v>
      </c>
    </row>
    <row r="148" spans="1:24" x14ac:dyDescent="0.2">
      <c r="A148" t="s">
        <v>629</v>
      </c>
      <c r="B148" s="125" t="s">
        <v>446</v>
      </c>
      <c r="C148" s="89">
        <f t="shared" si="4"/>
        <v>6.1478416527276456E-3</v>
      </c>
      <c r="D148" t="s">
        <v>526</v>
      </c>
      <c r="E148" s="89">
        <f t="shared" si="5"/>
        <v>1.2794187332175012E-2</v>
      </c>
      <c r="F148" s="214">
        <v>90872</v>
      </c>
      <c r="G148" s="83">
        <v>6580</v>
      </c>
      <c r="H148" s="83">
        <v>6505</v>
      </c>
      <c r="I148" s="83">
        <v>6295</v>
      </c>
      <c r="J148" s="83">
        <v>6100</v>
      </c>
      <c r="K148" s="83">
        <v>6175</v>
      </c>
      <c r="L148" s="83">
        <v>77101000</v>
      </c>
      <c r="M148" s="103" t="s">
        <v>446</v>
      </c>
      <c r="N148" s="214">
        <v>90619</v>
      </c>
      <c r="O148" s="214">
        <v>90872</v>
      </c>
      <c r="P148" s="216">
        <v>91.7</v>
      </c>
      <c r="Q148" s="216">
        <v>92.3</v>
      </c>
      <c r="R148" s="216">
        <v>93</v>
      </c>
      <c r="S148" s="216">
        <v>93.5</v>
      </c>
      <c r="T148" s="216">
        <v>94</v>
      </c>
      <c r="U148" s="216">
        <v>94.5</v>
      </c>
      <c r="V148" s="216">
        <v>94.9</v>
      </c>
      <c r="W148" s="216">
        <v>95.4</v>
      </c>
      <c r="X148" s="216">
        <v>95.9</v>
      </c>
    </row>
    <row r="149" spans="1:24" x14ac:dyDescent="0.2">
      <c r="A149" t="s">
        <v>633</v>
      </c>
      <c r="B149" s="125" t="s">
        <v>363</v>
      </c>
      <c r="C149" s="89">
        <f t="shared" si="4"/>
        <v>4.0524537444455305E-3</v>
      </c>
      <c r="D149" t="s">
        <v>555</v>
      </c>
      <c r="E149" s="89">
        <f t="shared" si="5"/>
        <v>2.6112185686653772E-2</v>
      </c>
      <c r="F149" s="214">
        <v>30681</v>
      </c>
      <c r="G149" s="83">
        <v>2195</v>
      </c>
      <c r="H149" s="83">
        <v>2180</v>
      </c>
      <c r="I149" s="83">
        <v>2080</v>
      </c>
      <c r="J149" s="83">
        <v>1960</v>
      </c>
      <c r="K149" s="83">
        <v>1925</v>
      </c>
      <c r="L149" s="83">
        <v>132525000</v>
      </c>
      <c r="M149" s="103" t="s">
        <v>363</v>
      </c>
      <c r="N149" s="214">
        <v>29724</v>
      </c>
      <c r="O149" s="214">
        <v>30681</v>
      </c>
      <c r="P149" s="216">
        <v>30.4</v>
      </c>
      <c r="Q149" s="216">
        <v>30.6</v>
      </c>
      <c r="R149" s="216">
        <v>30.5</v>
      </c>
      <c r="S149" s="216">
        <v>30.5</v>
      </c>
      <c r="T149" s="216">
        <v>30.8</v>
      </c>
      <c r="U149" s="216">
        <v>31.1</v>
      </c>
      <c r="V149" s="216">
        <v>31.4</v>
      </c>
      <c r="W149" s="216">
        <v>31.6</v>
      </c>
      <c r="X149" s="216">
        <v>31.8</v>
      </c>
    </row>
    <row r="150" spans="1:24" x14ac:dyDescent="0.2">
      <c r="A150" t="s">
        <v>634</v>
      </c>
      <c r="B150" s="125" t="s">
        <v>529</v>
      </c>
      <c r="C150" s="89">
        <f t="shared" si="4"/>
        <v>6.7817917162895324E-4</v>
      </c>
      <c r="D150" t="s">
        <v>526</v>
      </c>
      <c r="E150" s="89">
        <f t="shared" si="5"/>
        <v>1.8572158800477082E-2</v>
      </c>
      <c r="F150" s="214">
        <v>80608</v>
      </c>
      <c r="G150" s="83">
        <v>6140</v>
      </c>
      <c r="H150" s="83">
        <v>6020</v>
      </c>
      <c r="I150" s="83">
        <v>5880</v>
      </c>
      <c r="J150" s="83">
        <v>5710</v>
      </c>
      <c r="K150" s="83">
        <v>5595</v>
      </c>
      <c r="L150" s="83">
        <v>185349000</v>
      </c>
      <c r="M150" s="103" t="s">
        <v>529</v>
      </c>
      <c r="N150" s="214">
        <v>80813</v>
      </c>
      <c r="O150" s="214">
        <v>80608</v>
      </c>
      <c r="P150" s="216">
        <v>81</v>
      </c>
      <c r="Q150" s="216">
        <v>81</v>
      </c>
      <c r="R150" s="216">
        <v>81.099999999999994</v>
      </c>
      <c r="S150" s="216">
        <v>81.099999999999994</v>
      </c>
      <c r="T150" s="216">
        <v>81.099999999999994</v>
      </c>
      <c r="U150" s="216">
        <v>81.2</v>
      </c>
      <c r="V150" s="216">
        <v>81.099999999999994</v>
      </c>
      <c r="W150" s="216">
        <v>81.099999999999994</v>
      </c>
      <c r="X150" s="216">
        <v>81.099999999999994</v>
      </c>
    </row>
    <row r="151" spans="1:24" x14ac:dyDescent="0.2">
      <c r="A151" t="s">
        <v>632</v>
      </c>
      <c r="B151" s="125" t="s">
        <v>522</v>
      </c>
      <c r="C151" s="89">
        <f t="shared" si="4"/>
        <v>-2.4269283528542789E-3</v>
      </c>
      <c r="D151" t="s">
        <v>155</v>
      </c>
      <c r="E151" s="89">
        <f t="shared" si="5"/>
        <v>2.0581113801452784E-2</v>
      </c>
      <c r="F151" s="214">
        <v>10530</v>
      </c>
      <c r="G151" s="83">
        <v>875</v>
      </c>
      <c r="H151" s="83">
        <v>845</v>
      </c>
      <c r="I151" s="83">
        <v>825</v>
      </c>
      <c r="J151" s="83">
        <v>795</v>
      </c>
      <c r="K151" s="83">
        <v>790</v>
      </c>
      <c r="L151" s="83">
        <v>68000</v>
      </c>
      <c r="M151" s="103" t="s">
        <v>522</v>
      </c>
      <c r="N151" s="214">
        <v>10490</v>
      </c>
      <c r="O151" s="214">
        <v>10530</v>
      </c>
      <c r="P151" s="216">
        <v>10.9</v>
      </c>
      <c r="Q151" s="216">
        <v>10.8</v>
      </c>
      <c r="R151" s="216">
        <v>10.7</v>
      </c>
      <c r="S151" s="216">
        <v>10.7</v>
      </c>
      <c r="T151" s="216">
        <v>10.6</v>
      </c>
      <c r="U151" s="216">
        <v>10.5</v>
      </c>
      <c r="V151" s="216">
        <v>10.4</v>
      </c>
      <c r="W151" s="216">
        <v>10.3</v>
      </c>
      <c r="X151" s="216">
        <v>10.3</v>
      </c>
    </row>
    <row r="152" spans="1:24" x14ac:dyDescent="0.2">
      <c r="A152" t="s">
        <v>631</v>
      </c>
      <c r="B152" s="125" t="s">
        <v>245</v>
      </c>
      <c r="C152" s="89">
        <f t="shared" si="4"/>
        <v>-1.7019207391198638E-3</v>
      </c>
      <c r="D152" t="s">
        <v>555</v>
      </c>
      <c r="E152" s="89">
        <f t="shared" si="5"/>
        <v>2.8461538461538462E-2</v>
      </c>
      <c r="F152" s="214">
        <v>16452</v>
      </c>
      <c r="G152" s="83">
        <v>1395</v>
      </c>
      <c r="H152" s="83">
        <v>1340</v>
      </c>
      <c r="I152" s="83">
        <v>1305</v>
      </c>
      <c r="J152" s="83">
        <v>1250</v>
      </c>
      <c r="K152" s="83">
        <v>1210</v>
      </c>
      <c r="L152" s="83">
        <v>2537000</v>
      </c>
      <c r="M152" s="103" t="s">
        <v>245</v>
      </c>
      <c r="N152" s="214">
        <v>16468</v>
      </c>
      <c r="O152" s="214">
        <v>16452</v>
      </c>
      <c r="P152" s="216">
        <v>16.5</v>
      </c>
      <c r="Q152" s="216">
        <v>16.399999999999999</v>
      </c>
      <c r="R152" s="216">
        <v>16.3</v>
      </c>
      <c r="S152" s="216">
        <v>16.3</v>
      </c>
      <c r="T152" s="216">
        <v>16.3</v>
      </c>
      <c r="U152" s="216">
        <v>16.3</v>
      </c>
      <c r="V152" s="216">
        <v>16.3</v>
      </c>
      <c r="W152" s="216">
        <v>16.3</v>
      </c>
      <c r="X152" s="216">
        <v>16.2</v>
      </c>
    </row>
    <row r="153" spans="1:24" x14ac:dyDescent="0.2">
      <c r="A153" t="s">
        <v>629</v>
      </c>
      <c r="B153" s="125" t="s">
        <v>447</v>
      </c>
      <c r="C153" s="89">
        <f t="shared" si="4"/>
        <v>1.4045407558105571E-3</v>
      </c>
      <c r="D153" t="s">
        <v>555</v>
      </c>
      <c r="E153" s="89">
        <f t="shared" si="5"/>
        <v>1.9460300985988582E-2</v>
      </c>
      <c r="F153" s="214">
        <v>43747</v>
      </c>
      <c r="G153" s="83">
        <v>4045</v>
      </c>
      <c r="H153" s="83">
        <v>4005</v>
      </c>
      <c r="I153" s="83">
        <v>3825</v>
      </c>
      <c r="J153" s="83">
        <v>3725</v>
      </c>
      <c r="K153" s="83">
        <v>3670</v>
      </c>
      <c r="L153" s="83">
        <v>127352000</v>
      </c>
      <c r="M153" s="103" t="s">
        <v>447</v>
      </c>
      <c r="N153" s="214">
        <v>43516</v>
      </c>
      <c r="O153" s="214">
        <v>43747</v>
      </c>
      <c r="P153" s="216">
        <v>43.4</v>
      </c>
      <c r="Q153" s="216">
        <v>43.5</v>
      </c>
      <c r="R153" s="216">
        <v>43.6</v>
      </c>
      <c r="S153" s="216">
        <v>43.7</v>
      </c>
      <c r="T153" s="216">
        <v>43.8</v>
      </c>
      <c r="U153" s="216">
        <v>43.9</v>
      </c>
      <c r="V153" s="216">
        <v>44</v>
      </c>
      <c r="W153" s="216">
        <v>44.1</v>
      </c>
      <c r="X153" s="216">
        <v>44.3</v>
      </c>
    </row>
    <row r="154" spans="1:24" x14ac:dyDescent="0.2">
      <c r="A154" t="s">
        <v>633</v>
      </c>
      <c r="B154" s="125" t="s">
        <v>364</v>
      </c>
      <c r="C154" s="89">
        <f t="shared" si="4"/>
        <v>3.9666172748982886E-3</v>
      </c>
      <c r="D154" t="s">
        <v>155</v>
      </c>
      <c r="E154" s="89">
        <f t="shared" si="5"/>
        <v>2.2222222222222223E-2</v>
      </c>
      <c r="F154" s="214">
        <v>21821</v>
      </c>
      <c r="G154" s="83">
        <v>1860</v>
      </c>
      <c r="H154" s="83">
        <v>1815</v>
      </c>
      <c r="I154" s="83">
        <v>1740</v>
      </c>
      <c r="J154" s="83">
        <v>1695</v>
      </c>
      <c r="K154" s="83">
        <v>1665</v>
      </c>
      <c r="L154" s="83">
        <v>-50106000</v>
      </c>
      <c r="M154" s="103" t="s">
        <v>364</v>
      </c>
      <c r="N154" s="214">
        <v>21313</v>
      </c>
      <c r="O154" s="214">
        <v>21821</v>
      </c>
      <c r="P154" s="216">
        <v>21.7</v>
      </c>
      <c r="Q154" s="216">
        <v>21.9</v>
      </c>
      <c r="R154" s="216">
        <v>22</v>
      </c>
      <c r="S154" s="216">
        <v>22.1</v>
      </c>
      <c r="T154" s="216">
        <v>22.2</v>
      </c>
      <c r="U154" s="216">
        <v>22.3</v>
      </c>
      <c r="V154" s="216">
        <v>22.4</v>
      </c>
      <c r="W154" s="216">
        <v>22.5</v>
      </c>
      <c r="X154" s="216">
        <v>22.6</v>
      </c>
    </row>
    <row r="155" spans="1:24" x14ac:dyDescent="0.2">
      <c r="A155" t="s">
        <v>629</v>
      </c>
      <c r="B155" s="125" t="s">
        <v>448</v>
      </c>
      <c r="C155" s="89">
        <f t="shared" si="4"/>
        <v>-3.3696328112571769E-3</v>
      </c>
      <c r="D155" t="s">
        <v>555</v>
      </c>
      <c r="E155" s="89">
        <f t="shared" si="5"/>
        <v>9.852216748768473E-3</v>
      </c>
      <c r="F155" s="214">
        <v>15366</v>
      </c>
      <c r="G155" s="83">
        <v>1660</v>
      </c>
      <c r="H155" s="83">
        <v>1650</v>
      </c>
      <c r="I155" s="83">
        <v>1640</v>
      </c>
      <c r="J155" s="83">
        <v>1590</v>
      </c>
      <c r="K155" s="83">
        <v>1580</v>
      </c>
      <c r="L155" s="83">
        <v>-5319000</v>
      </c>
      <c r="M155" s="103" t="s">
        <v>448</v>
      </c>
      <c r="N155" s="214">
        <v>15282</v>
      </c>
      <c r="O155" s="214">
        <v>15366</v>
      </c>
      <c r="P155" s="216">
        <v>15.2</v>
      </c>
      <c r="Q155" s="216">
        <v>15.2</v>
      </c>
      <c r="R155" s="216">
        <v>15.2</v>
      </c>
      <c r="S155" s="216">
        <v>15.1</v>
      </c>
      <c r="T155" s="216">
        <v>15.1</v>
      </c>
      <c r="U155" s="216">
        <v>15.1</v>
      </c>
      <c r="V155" s="216">
        <v>15.1</v>
      </c>
      <c r="W155" s="216">
        <v>15</v>
      </c>
      <c r="X155" s="216">
        <v>14.9</v>
      </c>
    </row>
    <row r="156" spans="1:24" x14ac:dyDescent="0.2">
      <c r="A156" t="s">
        <v>630</v>
      </c>
      <c r="B156" s="125" t="s">
        <v>321</v>
      </c>
      <c r="C156" s="89">
        <f t="shared" si="4"/>
        <v>3.2854902427887959E-3</v>
      </c>
      <c r="D156" t="s">
        <v>526</v>
      </c>
      <c r="E156" s="89">
        <f t="shared" si="5"/>
        <v>2.3146163737676809E-2</v>
      </c>
      <c r="F156" s="214">
        <v>89552</v>
      </c>
      <c r="G156" s="83">
        <v>9900</v>
      </c>
      <c r="H156" s="83">
        <v>9700</v>
      </c>
      <c r="I156" s="83">
        <v>9315</v>
      </c>
      <c r="J156" s="83">
        <v>8925</v>
      </c>
      <c r="K156" s="83">
        <v>8820</v>
      </c>
      <c r="L156" s="83">
        <v>202743000</v>
      </c>
      <c r="M156" s="103" t="s">
        <v>321</v>
      </c>
      <c r="N156" s="214">
        <v>88915</v>
      </c>
      <c r="O156" s="214">
        <v>89552</v>
      </c>
      <c r="P156" s="216">
        <v>88.5</v>
      </c>
      <c r="Q156" s="216">
        <v>88.9</v>
      </c>
      <c r="R156" s="216">
        <v>89.4</v>
      </c>
      <c r="S156" s="216">
        <v>89.8</v>
      </c>
      <c r="T156" s="216">
        <v>90.3</v>
      </c>
      <c r="U156" s="216">
        <v>90.8</v>
      </c>
      <c r="V156" s="216">
        <v>91.3</v>
      </c>
      <c r="W156" s="216">
        <v>91.7</v>
      </c>
      <c r="X156" s="216">
        <v>92.2</v>
      </c>
    </row>
    <row r="157" spans="1:24" x14ac:dyDescent="0.2">
      <c r="A157" t="s">
        <v>634</v>
      </c>
      <c r="B157" s="125" t="s">
        <v>208</v>
      </c>
      <c r="C157" s="89">
        <f t="shared" si="4"/>
        <v>-2.334561045272673E-3</v>
      </c>
      <c r="D157" t="s">
        <v>555</v>
      </c>
      <c r="E157" s="89">
        <f t="shared" si="5"/>
        <v>2.1245205075243436E-2</v>
      </c>
      <c r="F157" s="214">
        <v>34934</v>
      </c>
      <c r="G157" s="83">
        <v>3565</v>
      </c>
      <c r="H157" s="83">
        <v>3495</v>
      </c>
      <c r="I157" s="83">
        <v>3380</v>
      </c>
      <c r="J157" s="83">
        <v>3300</v>
      </c>
      <c r="K157" s="83">
        <v>3205</v>
      </c>
      <c r="L157" s="83">
        <v>10654000</v>
      </c>
      <c r="M157" s="103" t="s">
        <v>208</v>
      </c>
      <c r="N157" s="214">
        <v>35008</v>
      </c>
      <c r="O157" s="214">
        <v>34934</v>
      </c>
      <c r="P157" s="216">
        <v>34.799999999999997</v>
      </c>
      <c r="Q157" s="216">
        <v>34.700000000000003</v>
      </c>
      <c r="R157" s="216">
        <v>34.6</v>
      </c>
      <c r="S157" s="216">
        <v>34.6</v>
      </c>
      <c r="T157" s="216">
        <v>34.5</v>
      </c>
      <c r="U157" s="216">
        <v>34.4</v>
      </c>
      <c r="V157" s="216">
        <v>34.299999999999997</v>
      </c>
      <c r="W157" s="216">
        <v>34.200000000000003</v>
      </c>
      <c r="X157" s="216">
        <v>34.200000000000003</v>
      </c>
    </row>
    <row r="158" spans="1:24" x14ac:dyDescent="0.2">
      <c r="A158" t="s">
        <v>630</v>
      </c>
      <c r="B158" s="125" t="s">
        <v>322</v>
      </c>
      <c r="C158" s="89">
        <f t="shared" si="4"/>
        <v>-2.0038492546146783E-4</v>
      </c>
      <c r="D158" t="s">
        <v>555</v>
      </c>
      <c r="E158" s="89">
        <f t="shared" si="5"/>
        <v>1.5135135135135135E-2</v>
      </c>
      <c r="F158" s="214">
        <v>47686</v>
      </c>
      <c r="G158" s="83">
        <v>4820</v>
      </c>
      <c r="H158" s="83">
        <v>4735</v>
      </c>
      <c r="I158" s="83">
        <v>4610</v>
      </c>
      <c r="J158" s="83">
        <v>4490</v>
      </c>
      <c r="K158" s="83">
        <v>4470</v>
      </c>
      <c r="L158" s="83">
        <v>18674000</v>
      </c>
      <c r="M158" s="103" t="s">
        <v>322</v>
      </c>
      <c r="N158" s="214">
        <v>47595</v>
      </c>
      <c r="O158" s="214">
        <v>47686</v>
      </c>
      <c r="P158" s="216">
        <v>47.5</v>
      </c>
      <c r="Q158" s="216">
        <v>47.6</v>
      </c>
      <c r="R158" s="216">
        <v>47.6</v>
      </c>
      <c r="S158" s="216">
        <v>47.7</v>
      </c>
      <c r="T158" s="216">
        <v>47.8</v>
      </c>
      <c r="U158" s="216">
        <v>47.8</v>
      </c>
      <c r="V158" s="216">
        <v>47.7</v>
      </c>
      <c r="W158" s="216">
        <v>47.7</v>
      </c>
      <c r="X158" s="216">
        <v>47.6</v>
      </c>
    </row>
    <row r="159" spans="1:24" x14ac:dyDescent="0.2">
      <c r="A159" t="s">
        <v>628</v>
      </c>
      <c r="B159" s="125" t="s">
        <v>148</v>
      </c>
      <c r="C159" s="89">
        <f t="shared" si="4"/>
        <v>1.6262109285365099E-3</v>
      </c>
      <c r="D159" t="s">
        <v>526</v>
      </c>
      <c r="E159" s="89">
        <f t="shared" si="5"/>
        <v>1.7666926474408939E-2</v>
      </c>
      <c r="F159" s="214">
        <v>55685</v>
      </c>
      <c r="G159" s="83">
        <v>4025</v>
      </c>
      <c r="H159" s="83">
        <v>3935</v>
      </c>
      <c r="I159" s="83">
        <v>3880</v>
      </c>
      <c r="J159" s="83">
        <v>3720</v>
      </c>
      <c r="K159" s="83">
        <v>3685</v>
      </c>
      <c r="L159" s="83">
        <v>94358000</v>
      </c>
      <c r="M159" s="103" t="s">
        <v>148</v>
      </c>
      <c r="N159" s="214">
        <v>55320</v>
      </c>
      <c r="O159" s="214">
        <v>55685</v>
      </c>
      <c r="P159" s="216">
        <v>56.1</v>
      </c>
      <c r="Q159" s="216">
        <v>56</v>
      </c>
      <c r="R159" s="216">
        <v>56.1</v>
      </c>
      <c r="S159" s="216">
        <v>56.2</v>
      </c>
      <c r="T159" s="216">
        <v>56.3</v>
      </c>
      <c r="U159" s="216">
        <v>56.3</v>
      </c>
      <c r="V159" s="216">
        <v>56.4</v>
      </c>
      <c r="W159" s="216">
        <v>56.4</v>
      </c>
      <c r="X159" s="216">
        <v>56.5</v>
      </c>
    </row>
    <row r="160" spans="1:24" x14ac:dyDescent="0.2">
      <c r="A160" t="s">
        <v>637</v>
      </c>
      <c r="B160" s="125" t="s">
        <v>165</v>
      </c>
      <c r="C160" s="89">
        <f t="shared" si="4"/>
        <v>-8.4892128450572289E-4</v>
      </c>
      <c r="D160" t="s">
        <v>526</v>
      </c>
      <c r="E160" s="89">
        <f t="shared" si="5"/>
        <v>2.1869874248223072E-2</v>
      </c>
      <c r="F160" s="214">
        <v>34161</v>
      </c>
      <c r="G160" s="83">
        <v>1945</v>
      </c>
      <c r="H160" s="83">
        <v>1890</v>
      </c>
      <c r="I160" s="83">
        <v>1820</v>
      </c>
      <c r="J160" s="83">
        <v>1745</v>
      </c>
      <c r="K160" s="83">
        <v>1745</v>
      </c>
      <c r="L160" s="83">
        <v>66527000</v>
      </c>
      <c r="M160" s="103" t="s">
        <v>165</v>
      </c>
      <c r="N160" s="214">
        <v>34232</v>
      </c>
      <c r="O160" s="214">
        <v>34161</v>
      </c>
      <c r="P160" s="216">
        <v>34.5</v>
      </c>
      <c r="Q160" s="216">
        <v>34.5</v>
      </c>
      <c r="R160" s="216">
        <v>34.4</v>
      </c>
      <c r="S160" s="216">
        <v>34.299999999999997</v>
      </c>
      <c r="T160" s="216">
        <v>34.200000000000003</v>
      </c>
      <c r="U160" s="216">
        <v>34.1</v>
      </c>
      <c r="V160" s="216">
        <v>34</v>
      </c>
      <c r="W160" s="216">
        <v>33.9</v>
      </c>
      <c r="X160" s="216">
        <v>33.9</v>
      </c>
    </row>
    <row r="161" spans="1:24" x14ac:dyDescent="0.2">
      <c r="A161" t="s">
        <v>630</v>
      </c>
      <c r="B161" s="125" t="s">
        <v>323</v>
      </c>
      <c r="C161" s="89">
        <f t="shared" si="4"/>
        <v>3.0399589788667912E-3</v>
      </c>
      <c r="D161" t="s">
        <v>526</v>
      </c>
      <c r="E161" s="89">
        <f t="shared" si="5"/>
        <v>1.9625825385179752E-2</v>
      </c>
      <c r="F161" s="214">
        <v>72808</v>
      </c>
      <c r="G161" s="83">
        <v>5700</v>
      </c>
      <c r="H161" s="83">
        <v>5680</v>
      </c>
      <c r="I161" s="83">
        <v>5460</v>
      </c>
      <c r="J161" s="83">
        <v>5255</v>
      </c>
      <c r="K161" s="83">
        <v>5165</v>
      </c>
      <c r="L161" s="83">
        <v>100135000</v>
      </c>
      <c r="M161" s="103" t="s">
        <v>323</v>
      </c>
      <c r="N161" s="214">
        <v>72519</v>
      </c>
      <c r="O161" s="214">
        <v>72808</v>
      </c>
      <c r="P161" s="216">
        <v>72.099999999999994</v>
      </c>
      <c r="Q161" s="216">
        <v>72.400000000000006</v>
      </c>
      <c r="R161" s="216">
        <v>72.7</v>
      </c>
      <c r="S161" s="216">
        <v>73.3</v>
      </c>
      <c r="T161" s="216">
        <v>73.7</v>
      </c>
      <c r="U161" s="216">
        <v>74.099999999999994</v>
      </c>
      <c r="V161" s="216">
        <v>74.5</v>
      </c>
      <c r="W161" s="216">
        <v>74.7</v>
      </c>
      <c r="X161" s="216">
        <v>74.8</v>
      </c>
    </row>
    <row r="162" spans="1:24" x14ac:dyDescent="0.2">
      <c r="A162" t="s">
        <v>638</v>
      </c>
      <c r="B162" s="125" t="s">
        <v>487</v>
      </c>
      <c r="C162" s="89">
        <f t="shared" si="4"/>
        <v>-4.379669500570461E-3</v>
      </c>
      <c r="D162" t="s">
        <v>555</v>
      </c>
      <c r="E162" s="89">
        <f t="shared" si="5"/>
        <v>1.5930267508265705E-2</v>
      </c>
      <c r="F162" s="214">
        <v>42266</v>
      </c>
      <c r="G162" s="83">
        <v>3445</v>
      </c>
      <c r="H162" s="83">
        <v>3425</v>
      </c>
      <c r="I162" s="83">
        <v>3330</v>
      </c>
      <c r="J162" s="83">
        <v>3255</v>
      </c>
      <c r="K162" s="83">
        <v>3180</v>
      </c>
      <c r="L162" s="83">
        <v>28544000</v>
      </c>
      <c r="M162" s="103" t="s">
        <v>487</v>
      </c>
      <c r="N162" s="214">
        <v>42135</v>
      </c>
      <c r="O162" s="214">
        <v>42266</v>
      </c>
      <c r="P162" s="216">
        <v>41.9</v>
      </c>
      <c r="Q162" s="216">
        <v>41.8</v>
      </c>
      <c r="R162" s="216">
        <v>41.7</v>
      </c>
      <c r="S162" s="216">
        <v>41.6</v>
      </c>
      <c r="T162" s="216">
        <v>41.4</v>
      </c>
      <c r="U162" s="216">
        <v>41.2</v>
      </c>
      <c r="V162" s="216">
        <v>41</v>
      </c>
      <c r="W162" s="216">
        <v>40.799999999999997</v>
      </c>
      <c r="X162" s="216">
        <v>40.6</v>
      </c>
    </row>
    <row r="163" spans="1:24" x14ac:dyDescent="0.2">
      <c r="A163" t="s">
        <v>636</v>
      </c>
      <c r="B163" s="125" t="s">
        <v>283</v>
      </c>
      <c r="C163" s="89">
        <f t="shared" si="4"/>
        <v>7.0360361571590536E-4</v>
      </c>
      <c r="D163" t="s">
        <v>555</v>
      </c>
      <c r="E163" s="89">
        <f t="shared" si="5"/>
        <v>2.185792349726776E-2</v>
      </c>
      <c r="F163" s="214">
        <v>49586</v>
      </c>
      <c r="G163" s="83">
        <v>4430</v>
      </c>
      <c r="H163" s="83">
        <v>4365</v>
      </c>
      <c r="I163" s="83">
        <v>4215</v>
      </c>
      <c r="J163" s="83">
        <v>4065</v>
      </c>
      <c r="K163" s="83">
        <v>3970</v>
      </c>
      <c r="L163" s="83">
        <v>99689000</v>
      </c>
      <c r="M163" s="103" t="s">
        <v>283</v>
      </c>
      <c r="N163" s="214">
        <v>49294</v>
      </c>
      <c r="O163" s="214">
        <v>49586</v>
      </c>
      <c r="P163" s="216">
        <v>49.2</v>
      </c>
      <c r="Q163" s="216">
        <v>49.4</v>
      </c>
      <c r="R163" s="216">
        <v>49.6</v>
      </c>
      <c r="S163" s="216">
        <v>49.8</v>
      </c>
      <c r="T163" s="216">
        <v>49.8</v>
      </c>
      <c r="U163" s="216">
        <v>49.8</v>
      </c>
      <c r="V163" s="216">
        <v>49.9</v>
      </c>
      <c r="W163" s="216">
        <v>49.9</v>
      </c>
      <c r="X163" s="216">
        <v>49.9</v>
      </c>
    </row>
    <row r="164" spans="1:24" x14ac:dyDescent="0.2">
      <c r="A164" t="s">
        <v>630</v>
      </c>
      <c r="B164" s="125" t="s">
        <v>324</v>
      </c>
      <c r="C164" s="89">
        <f t="shared" si="4"/>
        <v>-4.405333677164254E-4</v>
      </c>
      <c r="D164" t="s">
        <v>155</v>
      </c>
      <c r="E164" s="89">
        <f t="shared" si="5"/>
        <v>1.4986029972059944E-2</v>
      </c>
      <c r="F164" s="214">
        <v>41364</v>
      </c>
      <c r="G164" s="83">
        <v>4080</v>
      </c>
      <c r="H164" s="83">
        <v>4055</v>
      </c>
      <c r="I164" s="83">
        <v>3950</v>
      </c>
      <c r="J164" s="83">
        <v>3815</v>
      </c>
      <c r="K164" s="83">
        <v>3785</v>
      </c>
      <c r="L164" s="83">
        <v>-72820000</v>
      </c>
      <c r="M164" s="103" t="s">
        <v>324</v>
      </c>
      <c r="N164" s="214">
        <v>41378</v>
      </c>
      <c r="O164" s="214">
        <v>41364</v>
      </c>
      <c r="P164" s="216">
        <v>41.4</v>
      </c>
      <c r="Q164" s="216">
        <v>41.4</v>
      </c>
      <c r="R164" s="216">
        <v>41.4</v>
      </c>
      <c r="S164" s="216">
        <v>41.4</v>
      </c>
      <c r="T164" s="216">
        <v>41.4</v>
      </c>
      <c r="U164" s="216">
        <v>41.4</v>
      </c>
      <c r="V164" s="216">
        <v>41.4</v>
      </c>
      <c r="W164" s="216">
        <v>41.3</v>
      </c>
      <c r="X164" s="216">
        <v>41.2</v>
      </c>
    </row>
    <row r="165" spans="1:24" x14ac:dyDescent="0.2">
      <c r="A165" t="s">
        <v>640</v>
      </c>
      <c r="B165" s="125" t="s">
        <v>405</v>
      </c>
      <c r="C165" s="89">
        <f t="shared" si="4"/>
        <v>-2.7060807941072964E-3</v>
      </c>
      <c r="D165" t="s">
        <v>155</v>
      </c>
      <c r="E165" s="89">
        <f t="shared" si="5"/>
        <v>1.8887187340479835E-2</v>
      </c>
      <c r="F165" s="214">
        <v>27469</v>
      </c>
      <c r="G165" s="83">
        <v>2055</v>
      </c>
      <c r="H165" s="83">
        <v>2020</v>
      </c>
      <c r="I165" s="83">
        <v>1940</v>
      </c>
      <c r="J165" s="83">
        <v>1910</v>
      </c>
      <c r="K165" s="83">
        <v>1870</v>
      </c>
      <c r="L165" s="83">
        <v>42883000</v>
      </c>
      <c r="M165" s="103" t="s">
        <v>405</v>
      </c>
      <c r="N165" s="214">
        <v>27400</v>
      </c>
      <c r="O165" s="214">
        <v>27469</v>
      </c>
      <c r="P165" s="216">
        <v>27.2</v>
      </c>
      <c r="Q165" s="216">
        <v>27.1</v>
      </c>
      <c r="R165" s="216">
        <v>27.1</v>
      </c>
      <c r="S165" s="216">
        <v>27</v>
      </c>
      <c r="T165" s="216">
        <v>27</v>
      </c>
      <c r="U165" s="216">
        <v>26.9</v>
      </c>
      <c r="V165" s="216">
        <v>26.9</v>
      </c>
      <c r="W165" s="216">
        <v>26.8</v>
      </c>
      <c r="X165" s="216">
        <v>26.8</v>
      </c>
    </row>
    <row r="166" spans="1:24" x14ac:dyDescent="0.2">
      <c r="A166" t="s">
        <v>636</v>
      </c>
      <c r="B166" s="125" t="s">
        <v>284</v>
      </c>
      <c r="C166" s="89">
        <f t="shared" si="4"/>
        <v>-9.0673197469313977E-3</v>
      </c>
      <c r="D166" t="s">
        <v>555</v>
      </c>
      <c r="E166" s="89">
        <f t="shared" si="5"/>
        <v>1.8736223365172666E-2</v>
      </c>
      <c r="F166" s="214">
        <v>34299</v>
      </c>
      <c r="G166" s="83">
        <v>2840</v>
      </c>
      <c r="H166" s="83">
        <v>2815</v>
      </c>
      <c r="I166" s="83">
        <v>2740</v>
      </c>
      <c r="J166" s="83">
        <v>2630</v>
      </c>
      <c r="K166" s="83">
        <v>2585</v>
      </c>
      <c r="L166" s="83">
        <v>2975000</v>
      </c>
      <c r="M166" s="103" t="s">
        <v>284</v>
      </c>
      <c r="N166" s="214">
        <v>34206</v>
      </c>
      <c r="O166" s="214">
        <v>34299</v>
      </c>
      <c r="P166" s="216">
        <v>33.6</v>
      </c>
      <c r="Q166" s="216">
        <v>33.4</v>
      </c>
      <c r="R166" s="216">
        <v>33.200000000000003</v>
      </c>
      <c r="S166" s="216">
        <v>32.799999999999997</v>
      </c>
      <c r="T166" s="216">
        <v>32.5</v>
      </c>
      <c r="U166" s="216">
        <v>32.200000000000003</v>
      </c>
      <c r="V166" s="216">
        <v>32</v>
      </c>
      <c r="W166" s="216">
        <v>31.8</v>
      </c>
      <c r="X166" s="216">
        <v>31.5</v>
      </c>
    </row>
    <row r="167" spans="1:24" x14ac:dyDescent="0.2">
      <c r="A167" t="s">
        <v>633</v>
      </c>
      <c r="B167" s="125" t="s">
        <v>365</v>
      </c>
      <c r="C167" s="89">
        <f t="shared" si="4"/>
        <v>1.0296719068121893E-2</v>
      </c>
      <c r="D167" t="s">
        <v>555</v>
      </c>
      <c r="E167" s="89">
        <f t="shared" si="5"/>
        <v>2.4266144814090021E-2</v>
      </c>
      <c r="F167" s="214">
        <v>26632</v>
      </c>
      <c r="G167" s="83">
        <v>2735</v>
      </c>
      <c r="H167" s="83">
        <v>2615</v>
      </c>
      <c r="I167" s="83">
        <v>2545</v>
      </c>
      <c r="J167" s="83">
        <v>2455</v>
      </c>
      <c r="K167" s="83">
        <v>2425</v>
      </c>
      <c r="L167" s="83">
        <v>46977000</v>
      </c>
      <c r="M167" s="103" t="s">
        <v>365</v>
      </c>
      <c r="N167" s="214">
        <v>26377</v>
      </c>
      <c r="O167" s="214">
        <v>26632</v>
      </c>
      <c r="P167" s="216">
        <v>27</v>
      </c>
      <c r="Q167" s="216">
        <v>27.4</v>
      </c>
      <c r="R167" s="216">
        <v>27.7</v>
      </c>
      <c r="S167" s="216">
        <v>28.1</v>
      </c>
      <c r="T167" s="216">
        <v>28.5</v>
      </c>
      <c r="U167" s="216">
        <v>28.7</v>
      </c>
      <c r="V167" s="216">
        <v>28.9</v>
      </c>
      <c r="W167" s="216">
        <v>29</v>
      </c>
      <c r="X167" s="216">
        <v>29.1</v>
      </c>
    </row>
    <row r="168" spans="1:24" x14ac:dyDescent="0.2">
      <c r="A168" t="s">
        <v>634</v>
      </c>
      <c r="B168" s="125" t="s">
        <v>209</v>
      </c>
      <c r="C168" s="89">
        <f t="shared" si="4"/>
        <v>3.2170440747555924E-3</v>
      </c>
      <c r="D168" t="s">
        <v>155</v>
      </c>
      <c r="E168" s="89">
        <f t="shared" si="5"/>
        <v>2.1195097037793667E-2</v>
      </c>
      <c r="F168" s="214">
        <v>53258</v>
      </c>
      <c r="G168" s="83">
        <v>4130</v>
      </c>
      <c r="H168" s="83">
        <v>4050</v>
      </c>
      <c r="I168" s="83">
        <v>3900</v>
      </c>
      <c r="J168" s="83">
        <v>3785</v>
      </c>
      <c r="K168" s="83">
        <v>3715</v>
      </c>
      <c r="L168" s="83">
        <v>119474000</v>
      </c>
      <c r="M168" s="103" t="s">
        <v>209</v>
      </c>
      <c r="N168" s="214">
        <v>52514</v>
      </c>
      <c r="O168" s="214">
        <v>53258</v>
      </c>
      <c r="P168" s="216">
        <v>52.6</v>
      </c>
      <c r="Q168" s="216">
        <v>52.9</v>
      </c>
      <c r="R168" s="216">
        <v>53.1</v>
      </c>
      <c r="S168" s="216">
        <v>53.3</v>
      </c>
      <c r="T168" s="216">
        <v>53.7</v>
      </c>
      <c r="U168" s="216">
        <v>54</v>
      </c>
      <c r="V168" s="216">
        <v>54.3</v>
      </c>
      <c r="W168" s="216">
        <v>54.6</v>
      </c>
      <c r="X168" s="216">
        <v>54.8</v>
      </c>
    </row>
    <row r="169" spans="1:24" x14ac:dyDescent="0.2">
      <c r="A169" t="s">
        <v>640</v>
      </c>
      <c r="B169" s="125" t="s">
        <v>406</v>
      </c>
      <c r="C169" s="89">
        <f t="shared" si="4"/>
        <v>-9.6162251945100085E-4</v>
      </c>
      <c r="D169" t="s">
        <v>555</v>
      </c>
      <c r="E169" s="89">
        <f t="shared" si="5"/>
        <v>3.1189083820662766E-2</v>
      </c>
      <c r="F169" s="214">
        <v>12710</v>
      </c>
      <c r="G169" s="83">
        <v>1110</v>
      </c>
      <c r="H169" s="83">
        <v>1055</v>
      </c>
      <c r="I169" s="83">
        <v>1025</v>
      </c>
      <c r="J169" s="83">
        <v>990</v>
      </c>
      <c r="K169" s="83">
        <v>950</v>
      </c>
      <c r="L169" s="83">
        <v>13595000</v>
      </c>
      <c r="M169" s="103" t="s">
        <v>406</v>
      </c>
      <c r="N169" s="214">
        <v>12620</v>
      </c>
      <c r="O169" s="214">
        <v>12710</v>
      </c>
      <c r="P169" s="216">
        <v>12.7</v>
      </c>
      <c r="Q169" s="216">
        <v>12.7</v>
      </c>
      <c r="R169" s="216">
        <v>12.7</v>
      </c>
      <c r="S169" s="216">
        <v>12.7</v>
      </c>
      <c r="T169" s="216">
        <v>12.7</v>
      </c>
      <c r="U169" s="216">
        <v>12.6</v>
      </c>
      <c r="V169" s="216">
        <v>12.6</v>
      </c>
      <c r="W169" s="216">
        <v>12.6</v>
      </c>
      <c r="X169" s="216">
        <v>12.6</v>
      </c>
    </row>
    <row r="170" spans="1:24" x14ac:dyDescent="0.2">
      <c r="A170" t="s">
        <v>633</v>
      </c>
      <c r="B170" s="125" t="s">
        <v>366</v>
      </c>
      <c r="C170" s="89">
        <f t="shared" si="4"/>
        <v>6.4332888478253426E-3</v>
      </c>
      <c r="D170" t="s">
        <v>555</v>
      </c>
      <c r="E170" s="89">
        <f t="shared" si="5"/>
        <v>2.5827482447342027E-2</v>
      </c>
      <c r="F170" s="214">
        <v>64940</v>
      </c>
      <c r="G170" s="83">
        <v>4240</v>
      </c>
      <c r="H170" s="83">
        <v>4135</v>
      </c>
      <c r="I170" s="83">
        <v>4025</v>
      </c>
      <c r="J170" s="83">
        <v>3815</v>
      </c>
      <c r="K170" s="83">
        <v>3725</v>
      </c>
      <c r="L170" s="83">
        <v>67051000</v>
      </c>
      <c r="M170" s="103" t="s">
        <v>366</v>
      </c>
      <c r="N170" s="214">
        <v>64546</v>
      </c>
      <c r="O170" s="214">
        <v>64940</v>
      </c>
      <c r="P170" s="216">
        <v>66.5</v>
      </c>
      <c r="Q170" s="216">
        <v>67</v>
      </c>
      <c r="R170" s="216">
        <v>67.3</v>
      </c>
      <c r="S170" s="216">
        <v>67.5</v>
      </c>
      <c r="T170" s="216">
        <v>67.8</v>
      </c>
      <c r="U170" s="216">
        <v>67.900000000000006</v>
      </c>
      <c r="V170" s="216">
        <v>68.099999999999994</v>
      </c>
      <c r="W170" s="216">
        <v>68.3</v>
      </c>
      <c r="X170" s="216">
        <v>68.7</v>
      </c>
    </row>
    <row r="171" spans="1:24" x14ac:dyDescent="0.2">
      <c r="A171" t="s">
        <v>638</v>
      </c>
      <c r="B171" s="125" t="s">
        <v>488</v>
      </c>
      <c r="C171" s="89">
        <f t="shared" si="4"/>
        <v>-4.5838277509639624E-3</v>
      </c>
      <c r="D171" t="s">
        <v>526</v>
      </c>
      <c r="E171" s="89">
        <f t="shared" si="5"/>
        <v>1.3704318936877076E-2</v>
      </c>
      <c r="F171" s="214">
        <v>45789</v>
      </c>
      <c r="G171" s="83">
        <v>2520</v>
      </c>
      <c r="H171" s="83">
        <v>2430</v>
      </c>
      <c r="I171" s="83">
        <v>2400</v>
      </c>
      <c r="J171" s="83">
        <v>2335</v>
      </c>
      <c r="K171" s="83">
        <v>2355</v>
      </c>
      <c r="L171" s="83">
        <v>38485000</v>
      </c>
      <c r="M171" s="103" t="s">
        <v>488</v>
      </c>
      <c r="N171" s="214">
        <v>45954</v>
      </c>
      <c r="O171" s="214">
        <v>45789</v>
      </c>
      <c r="P171" s="216">
        <v>45.3</v>
      </c>
      <c r="Q171" s="216">
        <v>44.9</v>
      </c>
      <c r="R171" s="216">
        <v>44.5</v>
      </c>
      <c r="S171" s="216">
        <v>44.3</v>
      </c>
      <c r="T171" s="216">
        <v>44.2</v>
      </c>
      <c r="U171" s="216">
        <v>44.2</v>
      </c>
      <c r="V171" s="216">
        <v>44.2</v>
      </c>
      <c r="W171" s="216">
        <v>44.1</v>
      </c>
      <c r="X171" s="216">
        <v>43.9</v>
      </c>
    </row>
    <row r="172" spans="1:24" x14ac:dyDescent="0.2">
      <c r="A172" t="s">
        <v>630</v>
      </c>
      <c r="B172" s="125" t="s">
        <v>325</v>
      </c>
      <c r="C172" s="89">
        <f t="shared" si="4"/>
        <v>2.1025392204431503E-3</v>
      </c>
      <c r="D172" t="s">
        <v>555</v>
      </c>
      <c r="E172" s="89">
        <f t="shared" si="5"/>
        <v>2.4356617647058824E-2</v>
      </c>
      <c r="F172" s="214">
        <v>22671</v>
      </c>
      <c r="G172" s="83">
        <v>2305</v>
      </c>
      <c r="H172" s="83">
        <v>2265</v>
      </c>
      <c r="I172" s="83">
        <v>2165</v>
      </c>
      <c r="J172" s="83">
        <v>2105</v>
      </c>
      <c r="K172" s="83">
        <v>2040</v>
      </c>
      <c r="L172" s="83">
        <v>12524000</v>
      </c>
      <c r="M172" s="103" t="s">
        <v>325</v>
      </c>
      <c r="N172" s="214">
        <v>22524</v>
      </c>
      <c r="O172" s="214">
        <v>22671</v>
      </c>
      <c r="P172" s="216">
        <v>22.7</v>
      </c>
      <c r="Q172" s="216">
        <v>22.7</v>
      </c>
      <c r="R172" s="216">
        <v>22.8</v>
      </c>
      <c r="S172" s="216">
        <v>22.9</v>
      </c>
      <c r="T172" s="216">
        <v>22.9</v>
      </c>
      <c r="U172" s="216">
        <v>22.9</v>
      </c>
      <c r="V172" s="216">
        <v>23</v>
      </c>
      <c r="W172" s="216">
        <v>23</v>
      </c>
      <c r="X172" s="216">
        <v>23.1</v>
      </c>
    </row>
    <row r="173" spans="1:24" x14ac:dyDescent="0.2">
      <c r="A173" t="s">
        <v>632</v>
      </c>
      <c r="B173" s="125" t="s">
        <v>517</v>
      </c>
      <c r="C173" s="89">
        <f t="shared" si="4"/>
        <v>2.3117483571001847E-3</v>
      </c>
      <c r="D173" t="s">
        <v>155</v>
      </c>
      <c r="E173" s="89">
        <f t="shared" si="5"/>
        <v>2.3369036027263874E-2</v>
      </c>
      <c r="F173" s="214">
        <v>12833</v>
      </c>
      <c r="G173" s="83">
        <v>1090</v>
      </c>
      <c r="H173" s="83">
        <v>1055</v>
      </c>
      <c r="I173" s="83">
        <v>1020</v>
      </c>
      <c r="J173" s="83">
        <v>1000</v>
      </c>
      <c r="K173" s="83">
        <v>970</v>
      </c>
      <c r="L173" s="83">
        <v>20356000</v>
      </c>
      <c r="M173" s="103" t="s">
        <v>517</v>
      </c>
      <c r="N173" s="214">
        <v>12875</v>
      </c>
      <c r="O173" s="214">
        <v>12833</v>
      </c>
      <c r="P173" s="216">
        <v>13.2</v>
      </c>
      <c r="Q173" s="216">
        <v>13.1</v>
      </c>
      <c r="R173" s="216">
        <v>13.1</v>
      </c>
      <c r="S173" s="216">
        <v>13.1</v>
      </c>
      <c r="T173" s="216">
        <v>13.1</v>
      </c>
      <c r="U173" s="216">
        <v>13.1</v>
      </c>
      <c r="V173" s="216">
        <v>13.1</v>
      </c>
      <c r="W173" s="216">
        <v>13.1</v>
      </c>
      <c r="X173" s="216">
        <v>13.1</v>
      </c>
    </row>
    <row r="174" spans="1:24" x14ac:dyDescent="0.2">
      <c r="A174" t="s">
        <v>633</v>
      </c>
      <c r="B174" s="125" t="s">
        <v>367</v>
      </c>
      <c r="C174" s="89">
        <f t="shared" si="4"/>
        <v>-8.9998097926740142E-3</v>
      </c>
      <c r="D174" t="s">
        <v>555</v>
      </c>
      <c r="E174" s="89">
        <f t="shared" si="5"/>
        <v>1.4973262032085561E-2</v>
      </c>
      <c r="F174" s="214">
        <v>11099</v>
      </c>
      <c r="G174" s="83">
        <v>970</v>
      </c>
      <c r="H174" s="83">
        <v>940</v>
      </c>
      <c r="I174" s="83">
        <v>950</v>
      </c>
      <c r="J174" s="83">
        <v>915</v>
      </c>
      <c r="K174" s="83">
        <v>900</v>
      </c>
      <c r="L174" s="83">
        <v>9666000</v>
      </c>
      <c r="M174" s="103" t="s">
        <v>367</v>
      </c>
      <c r="N174" s="214">
        <v>10954</v>
      </c>
      <c r="O174" s="214">
        <v>11099</v>
      </c>
      <c r="P174" s="216">
        <v>10.6</v>
      </c>
      <c r="Q174" s="216">
        <v>10.5</v>
      </c>
      <c r="R174" s="216">
        <v>10.5</v>
      </c>
      <c r="S174" s="216">
        <v>10.5</v>
      </c>
      <c r="T174" s="216">
        <v>10.4</v>
      </c>
      <c r="U174" s="216">
        <v>10.4</v>
      </c>
      <c r="V174" s="216">
        <v>10.3</v>
      </c>
      <c r="W174" s="216">
        <v>10.3</v>
      </c>
      <c r="X174" s="216">
        <v>10.199999999999999</v>
      </c>
    </row>
    <row r="175" spans="1:24" x14ac:dyDescent="0.2">
      <c r="A175" t="s">
        <v>633</v>
      </c>
      <c r="B175" s="125" t="s">
        <v>368</v>
      </c>
      <c r="C175" s="89">
        <f t="shared" si="4"/>
        <v>7.9663138727665867E-4</v>
      </c>
      <c r="D175" t="s">
        <v>555</v>
      </c>
      <c r="E175" s="89">
        <f t="shared" si="5"/>
        <v>1.3379583746283449E-2</v>
      </c>
      <c r="F175" s="214">
        <v>29290</v>
      </c>
      <c r="G175" s="83">
        <v>2095</v>
      </c>
      <c r="H175" s="83">
        <v>2075</v>
      </c>
      <c r="I175" s="83">
        <v>1995</v>
      </c>
      <c r="J175" s="83">
        <v>1965</v>
      </c>
      <c r="K175" s="83">
        <v>1960</v>
      </c>
      <c r="L175" s="83">
        <v>-6660000</v>
      </c>
      <c r="M175" s="103" t="s">
        <v>368</v>
      </c>
      <c r="N175" s="214">
        <v>29139</v>
      </c>
      <c r="O175" s="214">
        <v>29290</v>
      </c>
      <c r="P175" s="216">
        <v>29.2</v>
      </c>
      <c r="Q175" s="216">
        <v>29.3</v>
      </c>
      <c r="R175" s="216">
        <v>29.4</v>
      </c>
      <c r="S175" s="216">
        <v>29.4</v>
      </c>
      <c r="T175" s="216">
        <v>29.4</v>
      </c>
      <c r="U175" s="216">
        <v>29.4</v>
      </c>
      <c r="V175" s="216">
        <v>29.4</v>
      </c>
      <c r="W175" s="216">
        <v>29.4</v>
      </c>
      <c r="X175" s="216">
        <v>29.5</v>
      </c>
    </row>
    <row r="176" spans="1:24" x14ac:dyDescent="0.2">
      <c r="A176" t="s">
        <v>633</v>
      </c>
      <c r="B176" s="125" t="s">
        <v>567</v>
      </c>
      <c r="C176" s="89">
        <f t="shared" si="4"/>
        <v>-1.1179786945203073E-4</v>
      </c>
      <c r="D176" t="s">
        <v>555</v>
      </c>
      <c r="E176" s="89">
        <f t="shared" si="5"/>
        <v>2.3E-2</v>
      </c>
      <c r="F176" s="214">
        <v>55656</v>
      </c>
      <c r="G176" s="83">
        <v>5270</v>
      </c>
      <c r="H176" s="83">
        <v>5145</v>
      </c>
      <c r="I176" s="83">
        <v>5030</v>
      </c>
      <c r="J176" s="83">
        <v>4860</v>
      </c>
      <c r="K176" s="83">
        <v>4695</v>
      </c>
      <c r="L176" s="83">
        <v>38067000</v>
      </c>
      <c r="M176" s="103" t="s">
        <v>567</v>
      </c>
      <c r="N176" s="214">
        <v>55218</v>
      </c>
      <c r="O176" s="214">
        <v>55656</v>
      </c>
      <c r="P176" s="216">
        <v>54.8</v>
      </c>
      <c r="Q176" s="216">
        <v>55</v>
      </c>
      <c r="R176" s="216">
        <v>55.1</v>
      </c>
      <c r="S176" s="216">
        <v>55.3</v>
      </c>
      <c r="T176" s="216">
        <v>55.4</v>
      </c>
      <c r="U176" s="216">
        <v>55.5</v>
      </c>
      <c r="V176" s="216">
        <v>55.6</v>
      </c>
      <c r="W176" s="216">
        <v>55.6</v>
      </c>
      <c r="X176" s="216">
        <v>55.6</v>
      </c>
    </row>
    <row r="177" spans="1:24" x14ac:dyDescent="0.2">
      <c r="A177" t="s">
        <v>629</v>
      </c>
      <c r="B177" s="125" t="s">
        <v>449</v>
      </c>
      <c r="C177" s="89">
        <f t="shared" si="4"/>
        <v>4.7184239160411373E-3</v>
      </c>
      <c r="D177" t="s">
        <v>555</v>
      </c>
      <c r="E177" s="89">
        <f t="shared" si="5"/>
        <v>2.037617554858934E-2</v>
      </c>
      <c r="F177" s="214">
        <v>22159</v>
      </c>
      <c r="G177" s="83">
        <v>2010</v>
      </c>
      <c r="H177" s="83">
        <v>1970</v>
      </c>
      <c r="I177" s="83">
        <v>1935</v>
      </c>
      <c r="J177" s="83">
        <v>1840</v>
      </c>
      <c r="K177" s="83">
        <v>1815</v>
      </c>
      <c r="L177" s="83">
        <v>87000</v>
      </c>
      <c r="M177" s="103" t="s">
        <v>449</v>
      </c>
      <c r="N177" s="214">
        <v>21945</v>
      </c>
      <c r="O177" s="214">
        <v>22159</v>
      </c>
      <c r="P177" s="216">
        <v>22.4</v>
      </c>
      <c r="Q177" s="216">
        <v>22.5</v>
      </c>
      <c r="R177" s="216">
        <v>22.6</v>
      </c>
      <c r="S177" s="216">
        <v>22.7</v>
      </c>
      <c r="T177" s="216">
        <v>22.8</v>
      </c>
      <c r="U177" s="216">
        <v>22.9</v>
      </c>
      <c r="V177" s="216">
        <v>23</v>
      </c>
      <c r="W177" s="216">
        <v>23</v>
      </c>
      <c r="X177" s="216">
        <v>23.1</v>
      </c>
    </row>
    <row r="178" spans="1:24" x14ac:dyDescent="0.2">
      <c r="A178" t="s">
        <v>629</v>
      </c>
      <c r="B178" s="125" t="s">
        <v>450</v>
      </c>
      <c r="C178" s="89">
        <f t="shared" si="4"/>
        <v>-1.0140518615094887E-3</v>
      </c>
      <c r="D178" t="s">
        <v>555</v>
      </c>
      <c r="E178" s="89">
        <f t="shared" si="5"/>
        <v>2.1088435374149658E-2</v>
      </c>
      <c r="F178" s="214">
        <v>15340</v>
      </c>
      <c r="G178" s="83">
        <v>1550</v>
      </c>
      <c r="H178" s="83">
        <v>1535</v>
      </c>
      <c r="I178" s="83">
        <v>1455</v>
      </c>
      <c r="J178" s="83">
        <v>1415</v>
      </c>
      <c r="K178" s="83">
        <v>1395</v>
      </c>
      <c r="L178" s="83">
        <v>-3053000</v>
      </c>
      <c r="M178" s="103" t="s">
        <v>450</v>
      </c>
      <c r="N178" s="214">
        <v>15317</v>
      </c>
      <c r="O178" s="214">
        <v>15340</v>
      </c>
      <c r="P178" s="216">
        <v>15.4</v>
      </c>
      <c r="Q178" s="216">
        <v>15.4</v>
      </c>
      <c r="R178" s="216">
        <v>15.4</v>
      </c>
      <c r="S178" s="216">
        <v>15.4</v>
      </c>
      <c r="T178" s="216">
        <v>15.4</v>
      </c>
      <c r="U178" s="216">
        <v>15.3</v>
      </c>
      <c r="V178" s="216">
        <v>15.3</v>
      </c>
      <c r="W178" s="216">
        <v>15.2</v>
      </c>
      <c r="X178" s="216">
        <v>15.2</v>
      </c>
    </row>
    <row r="179" spans="1:24" x14ac:dyDescent="0.2">
      <c r="A179" t="s">
        <v>638</v>
      </c>
      <c r="B179" s="125" t="s">
        <v>489</v>
      </c>
      <c r="C179" s="89">
        <f t="shared" si="4"/>
        <v>-6.7717154519846652E-3</v>
      </c>
      <c r="D179" t="s">
        <v>526</v>
      </c>
      <c r="E179" s="89">
        <f t="shared" si="5"/>
        <v>1.8696581196581196E-2</v>
      </c>
      <c r="F179" s="214">
        <v>37591</v>
      </c>
      <c r="G179" s="83">
        <v>1960</v>
      </c>
      <c r="H179" s="83">
        <v>1920</v>
      </c>
      <c r="I179" s="83">
        <v>1880</v>
      </c>
      <c r="J179" s="83">
        <v>1815</v>
      </c>
      <c r="K179" s="83">
        <v>1785</v>
      </c>
      <c r="L179" s="83">
        <v>-21423000</v>
      </c>
      <c r="M179" s="103" t="s">
        <v>489</v>
      </c>
      <c r="N179" s="214">
        <v>37479</v>
      </c>
      <c r="O179" s="214">
        <v>37591</v>
      </c>
      <c r="P179" s="216">
        <v>37</v>
      </c>
      <c r="Q179" s="216">
        <v>36.799999999999997</v>
      </c>
      <c r="R179" s="216">
        <v>36.5</v>
      </c>
      <c r="S179" s="216">
        <v>36.200000000000003</v>
      </c>
      <c r="T179" s="216">
        <v>35.9</v>
      </c>
      <c r="U179" s="216">
        <v>35.700000000000003</v>
      </c>
      <c r="V179" s="216">
        <v>35.4</v>
      </c>
      <c r="W179" s="216">
        <v>35.299999999999997</v>
      </c>
      <c r="X179" s="216">
        <v>35.299999999999997</v>
      </c>
    </row>
    <row r="180" spans="1:24" x14ac:dyDescent="0.2">
      <c r="A180" t="s">
        <v>630</v>
      </c>
      <c r="B180" s="125" t="s">
        <v>326</v>
      </c>
      <c r="C180" s="89">
        <f t="shared" si="4"/>
        <v>4.4778583986556713E-3</v>
      </c>
      <c r="D180" t="s">
        <v>555</v>
      </c>
      <c r="E180" s="89">
        <f t="shared" si="5"/>
        <v>3.6912751677852351E-2</v>
      </c>
      <c r="F180" s="214">
        <v>11439</v>
      </c>
      <c r="G180" s="83">
        <v>1305</v>
      </c>
      <c r="H180" s="83">
        <v>1265</v>
      </c>
      <c r="I180" s="83">
        <v>1180</v>
      </c>
      <c r="J180" s="83">
        <v>1125</v>
      </c>
      <c r="K180" s="83">
        <v>1085</v>
      </c>
      <c r="L180" s="83">
        <v>22604000</v>
      </c>
      <c r="M180" s="103" t="s">
        <v>326</v>
      </c>
      <c r="N180" s="214">
        <v>11270</v>
      </c>
      <c r="O180" s="214">
        <v>11439</v>
      </c>
      <c r="P180" s="216">
        <v>11.3</v>
      </c>
      <c r="Q180" s="216">
        <v>11.5</v>
      </c>
      <c r="R180" s="216">
        <v>11.7</v>
      </c>
      <c r="S180" s="216">
        <v>11.8</v>
      </c>
      <c r="T180" s="216">
        <v>11.8</v>
      </c>
      <c r="U180" s="216">
        <v>11.8</v>
      </c>
      <c r="V180" s="216">
        <v>11.7</v>
      </c>
      <c r="W180" s="216">
        <v>11.8</v>
      </c>
      <c r="X180" s="216">
        <v>11.9</v>
      </c>
    </row>
    <row r="181" spans="1:24" x14ac:dyDescent="0.2">
      <c r="A181" t="s">
        <v>630</v>
      </c>
      <c r="B181" s="125" t="s">
        <v>327</v>
      </c>
      <c r="C181" s="89">
        <f t="shared" si="4"/>
        <v>-1.3609025857149128E-3</v>
      </c>
      <c r="D181" t="s">
        <v>555</v>
      </c>
      <c r="E181" s="89">
        <f t="shared" si="5"/>
        <v>2.67022696929239E-2</v>
      </c>
      <c r="F181" s="214">
        <v>27841</v>
      </c>
      <c r="G181" s="83">
        <v>2400</v>
      </c>
      <c r="H181" s="83">
        <v>2325</v>
      </c>
      <c r="I181" s="83">
        <v>2240</v>
      </c>
      <c r="J181" s="83">
        <v>2170</v>
      </c>
      <c r="K181" s="83">
        <v>2100</v>
      </c>
      <c r="L181" s="83">
        <v>59281000</v>
      </c>
      <c r="M181" s="103" t="s">
        <v>327</v>
      </c>
      <c r="N181" s="214">
        <v>27616</v>
      </c>
      <c r="O181" s="214">
        <v>27841</v>
      </c>
      <c r="P181" s="216">
        <v>27.8</v>
      </c>
      <c r="Q181" s="216">
        <v>27.9</v>
      </c>
      <c r="R181" s="216">
        <v>27.9</v>
      </c>
      <c r="S181" s="216">
        <v>27.8</v>
      </c>
      <c r="T181" s="216">
        <v>27.6</v>
      </c>
      <c r="U181" s="216">
        <v>27.4</v>
      </c>
      <c r="V181" s="216">
        <v>27.5</v>
      </c>
      <c r="W181" s="216">
        <v>27.6</v>
      </c>
      <c r="X181" s="216">
        <v>27.5</v>
      </c>
    </row>
    <row r="182" spans="1:24" x14ac:dyDescent="0.2">
      <c r="A182" t="s">
        <v>633</v>
      </c>
      <c r="B182" s="125" t="s">
        <v>369</v>
      </c>
      <c r="C182" s="89">
        <f t="shared" si="4"/>
        <v>7.4941060653945218E-3</v>
      </c>
      <c r="D182" t="s">
        <v>555</v>
      </c>
      <c r="E182" s="89">
        <f t="shared" si="5"/>
        <v>3.1146940271161598E-2</v>
      </c>
      <c r="F182" s="214">
        <v>61174</v>
      </c>
      <c r="G182" s="83">
        <v>5900</v>
      </c>
      <c r="H182" s="83">
        <v>5680</v>
      </c>
      <c r="I182" s="83">
        <v>5460</v>
      </c>
      <c r="J182" s="83">
        <v>5200</v>
      </c>
      <c r="K182" s="83">
        <v>5050</v>
      </c>
      <c r="L182" s="83">
        <v>275604000</v>
      </c>
      <c r="M182" s="103" t="s">
        <v>369</v>
      </c>
      <c r="N182" s="214">
        <v>60098</v>
      </c>
      <c r="O182" s="214">
        <v>61174</v>
      </c>
      <c r="P182" s="216">
        <v>60.2</v>
      </c>
      <c r="Q182" s="216">
        <v>61.1</v>
      </c>
      <c r="R182" s="216">
        <v>62</v>
      </c>
      <c r="S182" s="216">
        <v>63.2</v>
      </c>
      <c r="T182" s="216">
        <v>63.9</v>
      </c>
      <c r="U182" s="216">
        <v>64.599999999999994</v>
      </c>
      <c r="V182" s="216">
        <v>64.900000000000006</v>
      </c>
      <c r="W182" s="216">
        <v>65.099999999999994</v>
      </c>
      <c r="X182" s="216">
        <v>65.3</v>
      </c>
    </row>
    <row r="183" spans="1:24" x14ac:dyDescent="0.2">
      <c r="A183" t="s">
        <v>630</v>
      </c>
      <c r="B183" s="125" t="s">
        <v>328</v>
      </c>
      <c r="C183" s="89">
        <f t="shared" si="4"/>
        <v>-5.3480204342273305E-3</v>
      </c>
      <c r="D183" t="s">
        <v>555</v>
      </c>
      <c r="E183" s="89">
        <f t="shared" si="5"/>
        <v>1.2096774193548387E-2</v>
      </c>
      <c r="F183" s="214">
        <v>11136</v>
      </c>
      <c r="G183" s="83">
        <v>1805</v>
      </c>
      <c r="H183" s="83">
        <v>1770</v>
      </c>
      <c r="I183" s="83">
        <v>1720</v>
      </c>
      <c r="J183" s="83">
        <v>1685</v>
      </c>
      <c r="K183" s="83">
        <v>1700</v>
      </c>
      <c r="L183" s="83">
        <v>2185000</v>
      </c>
      <c r="M183" s="103" t="s">
        <v>328</v>
      </c>
      <c r="N183" s="214">
        <v>11089</v>
      </c>
      <c r="O183" s="214">
        <v>11136</v>
      </c>
      <c r="P183" s="216">
        <v>10.9</v>
      </c>
      <c r="Q183" s="216">
        <v>10.9</v>
      </c>
      <c r="R183" s="216">
        <v>10.9</v>
      </c>
      <c r="S183" s="216">
        <v>10.8</v>
      </c>
      <c r="T183" s="216">
        <v>10.7</v>
      </c>
      <c r="U183" s="216">
        <v>10.6</v>
      </c>
      <c r="V183" s="216">
        <v>10.6</v>
      </c>
      <c r="W183" s="216">
        <v>10.6</v>
      </c>
      <c r="X183" s="216">
        <v>10.6</v>
      </c>
    </row>
    <row r="184" spans="1:24" x14ac:dyDescent="0.2">
      <c r="A184" t="s">
        <v>637</v>
      </c>
      <c r="B184" s="125" t="s">
        <v>166</v>
      </c>
      <c r="C184" s="89">
        <f t="shared" si="4"/>
        <v>-1.55858236768991E-3</v>
      </c>
      <c r="D184" t="s">
        <v>155</v>
      </c>
      <c r="E184" s="89">
        <f t="shared" si="5"/>
        <v>2.2499999999999999E-2</v>
      </c>
      <c r="F184" s="214">
        <v>19676</v>
      </c>
      <c r="G184" s="83">
        <v>1700</v>
      </c>
      <c r="H184" s="83">
        <v>1655</v>
      </c>
      <c r="I184" s="83">
        <v>1575</v>
      </c>
      <c r="J184" s="83">
        <v>1550</v>
      </c>
      <c r="K184" s="83">
        <v>1520</v>
      </c>
      <c r="L184" s="83">
        <v>92201000</v>
      </c>
      <c r="M184" s="103" t="s">
        <v>166</v>
      </c>
      <c r="N184" s="214">
        <v>19644</v>
      </c>
      <c r="O184" s="214">
        <v>19676</v>
      </c>
      <c r="P184" s="216">
        <v>19.8</v>
      </c>
      <c r="Q184" s="216">
        <v>19.8</v>
      </c>
      <c r="R184" s="216">
        <v>19.7</v>
      </c>
      <c r="S184" s="216">
        <v>19.7</v>
      </c>
      <c r="T184" s="216">
        <v>19.7</v>
      </c>
      <c r="U184" s="216">
        <v>19.600000000000001</v>
      </c>
      <c r="V184" s="216">
        <v>19.5</v>
      </c>
      <c r="W184" s="216">
        <v>19.5</v>
      </c>
      <c r="X184" s="216">
        <v>19.399999999999999</v>
      </c>
    </row>
    <row r="185" spans="1:24" x14ac:dyDescent="0.2">
      <c r="A185" t="s">
        <v>633</v>
      </c>
      <c r="B185" s="125" t="s">
        <v>370</v>
      </c>
      <c r="C185" s="89">
        <f t="shared" si="4"/>
        <v>4.6186203324983886E-3</v>
      </c>
      <c r="D185" t="s">
        <v>155</v>
      </c>
      <c r="E185" s="89">
        <f t="shared" si="5"/>
        <v>2.1131561008861623E-2</v>
      </c>
      <c r="F185" s="214">
        <v>21026</v>
      </c>
      <c r="G185" s="83">
        <v>1545</v>
      </c>
      <c r="H185" s="83">
        <v>1535</v>
      </c>
      <c r="I185" s="83">
        <v>1455</v>
      </c>
      <c r="J185" s="83">
        <v>1410</v>
      </c>
      <c r="K185" s="83">
        <v>1390</v>
      </c>
      <c r="L185" s="83">
        <v>31137000</v>
      </c>
      <c r="M185" s="103" t="s">
        <v>370</v>
      </c>
      <c r="N185" s="214">
        <v>20905</v>
      </c>
      <c r="O185" s="214">
        <v>21026</v>
      </c>
      <c r="P185" s="216">
        <v>20.9</v>
      </c>
      <c r="Q185" s="216">
        <v>21</v>
      </c>
      <c r="R185" s="216">
        <v>21.2</v>
      </c>
      <c r="S185" s="216">
        <v>21.3</v>
      </c>
      <c r="T185" s="216">
        <v>21.5</v>
      </c>
      <c r="U185" s="216">
        <v>21.6</v>
      </c>
      <c r="V185" s="216">
        <v>21.7</v>
      </c>
      <c r="W185" s="216">
        <v>21.7</v>
      </c>
      <c r="X185" s="216">
        <v>21.9</v>
      </c>
    </row>
    <row r="186" spans="1:24" s="124" customFormat="1" x14ac:dyDescent="0.2">
      <c r="A186" s="124" t="s">
        <v>632</v>
      </c>
      <c r="B186" s="125" t="s">
        <v>187</v>
      </c>
      <c r="C186" s="89">
        <f t="shared" si="4"/>
        <v>6.7231863210193941E-3</v>
      </c>
      <c r="D186" t="s">
        <v>526</v>
      </c>
      <c r="E186" s="89">
        <f t="shared" si="5"/>
        <v>2.5119772109283955E-2</v>
      </c>
      <c r="F186" s="214">
        <v>108910</v>
      </c>
      <c r="G186" s="124">
        <v>8225</v>
      </c>
      <c r="H186" s="124">
        <v>8000</v>
      </c>
      <c r="I186" s="104">
        <v>7745</v>
      </c>
      <c r="J186" s="83">
        <v>7390</v>
      </c>
      <c r="K186" s="104">
        <v>7255</v>
      </c>
      <c r="L186" s="104">
        <v>304321105.26315784</v>
      </c>
      <c r="M186" s="106" t="s">
        <v>187</v>
      </c>
      <c r="N186" s="214">
        <v>108685</v>
      </c>
      <c r="O186" s="214">
        <v>108910</v>
      </c>
      <c r="P186" s="216">
        <v>110.1</v>
      </c>
      <c r="Q186" s="216">
        <v>110.9</v>
      </c>
      <c r="R186" s="216">
        <v>111.6</v>
      </c>
      <c r="S186" s="216">
        <v>112.4</v>
      </c>
      <c r="T186" s="216">
        <v>113.1</v>
      </c>
      <c r="U186" s="216">
        <v>113.7</v>
      </c>
      <c r="V186" s="216">
        <v>114.4</v>
      </c>
      <c r="W186" s="216">
        <v>114.9</v>
      </c>
      <c r="X186" s="216">
        <v>115.5</v>
      </c>
    </row>
    <row r="187" spans="1:24" x14ac:dyDescent="0.2">
      <c r="A187" t="s">
        <v>632</v>
      </c>
      <c r="B187" s="125" t="s">
        <v>188</v>
      </c>
      <c r="C187" s="89">
        <f t="shared" si="4"/>
        <v>-2.0814748736247396E-3</v>
      </c>
      <c r="D187" t="s">
        <v>155</v>
      </c>
      <c r="E187" s="89">
        <f t="shared" si="5"/>
        <v>3.3033033033033031E-2</v>
      </c>
      <c r="F187" s="214">
        <v>10089</v>
      </c>
      <c r="G187" s="83">
        <v>720</v>
      </c>
      <c r="H187" s="83">
        <v>705</v>
      </c>
      <c r="I187" s="83">
        <v>660</v>
      </c>
      <c r="J187" s="83">
        <v>635</v>
      </c>
      <c r="K187" s="83">
        <v>610</v>
      </c>
      <c r="L187" s="83">
        <v>4128000</v>
      </c>
      <c r="M187" s="103" t="s">
        <v>188</v>
      </c>
      <c r="N187" s="215">
        <v>10105</v>
      </c>
      <c r="O187" s="214">
        <v>10089</v>
      </c>
      <c r="P187" s="216">
        <v>10.199999999999999</v>
      </c>
      <c r="Q187" s="216">
        <v>10.1</v>
      </c>
      <c r="R187" s="216">
        <v>10.1</v>
      </c>
      <c r="S187" s="216">
        <v>10.1</v>
      </c>
      <c r="T187" s="216">
        <v>10</v>
      </c>
      <c r="U187" s="216">
        <v>10</v>
      </c>
      <c r="V187" s="216">
        <v>10</v>
      </c>
      <c r="W187" s="216">
        <v>9.9</v>
      </c>
      <c r="X187" s="216">
        <v>9.9</v>
      </c>
    </row>
    <row r="188" spans="1:24" x14ac:dyDescent="0.2">
      <c r="A188" t="s">
        <v>633</v>
      </c>
      <c r="B188" s="125" t="s">
        <v>371</v>
      </c>
      <c r="C188" s="89">
        <f t="shared" si="4"/>
        <v>8.4727584727584716E-3</v>
      </c>
      <c r="D188" t="s">
        <v>526</v>
      </c>
      <c r="E188" s="89">
        <f t="shared" si="5"/>
        <v>2.4448487605185355E-2</v>
      </c>
      <c r="F188" s="214">
        <v>124320</v>
      </c>
      <c r="G188" s="83">
        <v>9365</v>
      </c>
      <c r="H188" s="83">
        <v>9105</v>
      </c>
      <c r="I188" s="83">
        <v>8775</v>
      </c>
      <c r="J188" s="83">
        <v>8435</v>
      </c>
      <c r="K188" s="83">
        <v>8290</v>
      </c>
      <c r="L188" s="83">
        <v>90731000</v>
      </c>
      <c r="M188" s="103" t="s">
        <v>371</v>
      </c>
      <c r="N188" s="214">
        <v>123752</v>
      </c>
      <c r="O188" s="214">
        <v>124320</v>
      </c>
      <c r="P188" s="216">
        <v>125.7</v>
      </c>
      <c r="Q188" s="216">
        <v>126.9</v>
      </c>
      <c r="R188" s="216">
        <v>128</v>
      </c>
      <c r="S188" s="216">
        <v>129</v>
      </c>
      <c r="T188" s="216">
        <v>130</v>
      </c>
      <c r="U188" s="216">
        <v>131.1</v>
      </c>
      <c r="V188" s="216">
        <v>132</v>
      </c>
      <c r="W188" s="216">
        <v>133</v>
      </c>
      <c r="X188" s="216">
        <v>133.80000000000001</v>
      </c>
    </row>
    <row r="189" spans="1:24" x14ac:dyDescent="0.2">
      <c r="A189" t="s">
        <v>633</v>
      </c>
      <c r="B189" s="125" t="s">
        <v>372</v>
      </c>
      <c r="C189" s="89">
        <f t="shared" si="4"/>
        <v>8.9251447375942126E-3</v>
      </c>
      <c r="D189" t="s">
        <v>555</v>
      </c>
      <c r="E189" s="89">
        <f t="shared" si="5"/>
        <v>2.5725232621784347E-2</v>
      </c>
      <c r="F189" s="214">
        <v>27214</v>
      </c>
      <c r="G189" s="83">
        <v>1940</v>
      </c>
      <c r="H189" s="83">
        <v>1915</v>
      </c>
      <c r="I189" s="83">
        <v>1820</v>
      </c>
      <c r="J189" s="83">
        <v>1755</v>
      </c>
      <c r="K189" s="83">
        <v>1705</v>
      </c>
      <c r="L189" s="83">
        <v>11923000</v>
      </c>
      <c r="M189" s="103" t="s">
        <v>372</v>
      </c>
      <c r="N189" s="214">
        <v>27129</v>
      </c>
      <c r="O189" s="214">
        <v>27214</v>
      </c>
      <c r="P189" s="216">
        <v>28.2</v>
      </c>
      <c r="Q189" s="216">
        <v>28.4</v>
      </c>
      <c r="R189" s="216">
        <v>28.6</v>
      </c>
      <c r="S189" s="216">
        <v>28.8</v>
      </c>
      <c r="T189" s="216">
        <v>29</v>
      </c>
      <c r="U189" s="216">
        <v>29.1</v>
      </c>
      <c r="V189" s="216">
        <v>29.2</v>
      </c>
      <c r="W189" s="216">
        <v>29.3</v>
      </c>
      <c r="X189" s="216">
        <v>29.4</v>
      </c>
    </row>
    <row r="190" spans="1:24" x14ac:dyDescent="0.2">
      <c r="A190" t="s">
        <v>633</v>
      </c>
      <c r="B190" s="125" t="s">
        <v>373</v>
      </c>
      <c r="C190" s="89">
        <f t="shared" si="4"/>
        <v>7.3429668076551878E-3</v>
      </c>
      <c r="D190" t="s">
        <v>155</v>
      </c>
      <c r="E190" s="89">
        <f t="shared" si="5"/>
        <v>2.7450980392156862E-2</v>
      </c>
      <c r="F190" s="214">
        <v>74947</v>
      </c>
      <c r="G190" s="83">
        <v>5755</v>
      </c>
      <c r="H190" s="83">
        <v>5600</v>
      </c>
      <c r="I190" s="83">
        <v>5325</v>
      </c>
      <c r="J190" s="83">
        <v>5075</v>
      </c>
      <c r="K190" s="83">
        <v>5020</v>
      </c>
      <c r="L190" s="83">
        <v>22854000</v>
      </c>
      <c r="M190" s="103" t="s">
        <v>373</v>
      </c>
      <c r="N190" s="214">
        <v>74608</v>
      </c>
      <c r="O190" s="214">
        <v>74947</v>
      </c>
      <c r="P190" s="216">
        <v>75.7</v>
      </c>
      <c r="Q190" s="216">
        <v>76.2</v>
      </c>
      <c r="R190" s="216">
        <v>76.7</v>
      </c>
      <c r="S190" s="216">
        <v>77.2</v>
      </c>
      <c r="T190" s="216">
        <v>77.7</v>
      </c>
      <c r="U190" s="216">
        <v>78.2</v>
      </c>
      <c r="V190" s="216">
        <v>78.8</v>
      </c>
      <c r="W190" s="216">
        <v>79.400000000000006</v>
      </c>
      <c r="X190" s="216">
        <v>79.900000000000006</v>
      </c>
    </row>
    <row r="191" spans="1:24" x14ac:dyDescent="0.2">
      <c r="A191" t="s">
        <v>635</v>
      </c>
      <c r="B191" s="125" t="s">
        <v>513</v>
      </c>
      <c r="C191" s="89">
        <f t="shared" si="4"/>
        <v>3.477876284100275E-3</v>
      </c>
      <c r="D191" t="s">
        <v>526</v>
      </c>
      <c r="E191" s="89">
        <f t="shared" si="5"/>
        <v>2.0401106500691563E-2</v>
      </c>
      <c r="F191" s="214">
        <v>77378</v>
      </c>
      <c r="G191" s="83">
        <v>6115</v>
      </c>
      <c r="H191" s="83">
        <v>5980</v>
      </c>
      <c r="I191" s="83">
        <v>5765</v>
      </c>
      <c r="J191" s="83">
        <v>5535</v>
      </c>
      <c r="K191" s="83">
        <v>5525</v>
      </c>
      <c r="L191" s="83">
        <v>162872000</v>
      </c>
      <c r="M191" s="103" t="s">
        <v>513</v>
      </c>
      <c r="N191" s="214">
        <v>76970</v>
      </c>
      <c r="O191" s="214">
        <v>77378</v>
      </c>
      <c r="P191" s="216">
        <v>77.7</v>
      </c>
      <c r="Q191" s="216">
        <v>78.2</v>
      </c>
      <c r="R191" s="216">
        <v>78.7</v>
      </c>
      <c r="S191" s="216">
        <v>79.099999999999994</v>
      </c>
      <c r="T191" s="216">
        <v>79.5</v>
      </c>
      <c r="U191" s="216">
        <v>79.7</v>
      </c>
      <c r="V191" s="216">
        <v>79.8</v>
      </c>
      <c r="W191" s="216">
        <v>79.8</v>
      </c>
      <c r="X191" s="216">
        <v>79.8</v>
      </c>
    </row>
    <row r="192" spans="1:24" x14ac:dyDescent="0.2">
      <c r="A192" t="s">
        <v>638</v>
      </c>
      <c r="B192" s="125" t="s">
        <v>490</v>
      </c>
      <c r="C192" s="89">
        <f t="shared" si="4"/>
        <v>-2.3032546258838701E-3</v>
      </c>
      <c r="D192" t="s">
        <v>555</v>
      </c>
      <c r="E192" s="89">
        <f t="shared" si="5"/>
        <v>1.1312992800822763E-2</v>
      </c>
      <c r="F192" s="214">
        <v>35843</v>
      </c>
      <c r="G192" s="83">
        <v>2985</v>
      </c>
      <c r="H192" s="83">
        <v>2975</v>
      </c>
      <c r="I192" s="83">
        <v>2920</v>
      </c>
      <c r="J192" s="83">
        <v>2885</v>
      </c>
      <c r="K192" s="83">
        <v>2820</v>
      </c>
      <c r="L192" s="83">
        <v>27251000</v>
      </c>
      <c r="M192" s="103" t="s">
        <v>490</v>
      </c>
      <c r="N192" s="214">
        <v>35907</v>
      </c>
      <c r="O192" s="214">
        <v>35843</v>
      </c>
      <c r="P192" s="216">
        <v>36.200000000000003</v>
      </c>
      <c r="Q192" s="216">
        <v>36.1</v>
      </c>
      <c r="R192" s="216">
        <v>36</v>
      </c>
      <c r="S192" s="216">
        <v>35.799999999999997</v>
      </c>
      <c r="T192" s="216">
        <v>35.6</v>
      </c>
      <c r="U192" s="216">
        <v>35.4</v>
      </c>
      <c r="V192" s="216">
        <v>35.200000000000003</v>
      </c>
      <c r="W192" s="216">
        <v>35.1</v>
      </c>
      <c r="X192" s="216">
        <v>35.1</v>
      </c>
    </row>
    <row r="193" spans="1:24" x14ac:dyDescent="0.2">
      <c r="A193" t="s">
        <v>636</v>
      </c>
      <c r="B193" s="125" t="s">
        <v>285</v>
      </c>
      <c r="C193" s="89">
        <f t="shared" si="4"/>
        <v>1.6351947673767444E-3</v>
      </c>
      <c r="D193" t="s">
        <v>555</v>
      </c>
      <c r="E193" s="89">
        <f t="shared" si="5"/>
        <v>2.3979018358935931E-2</v>
      </c>
      <c r="F193" s="214">
        <v>29762</v>
      </c>
      <c r="G193" s="83">
        <v>2845</v>
      </c>
      <c r="H193" s="83">
        <v>2770</v>
      </c>
      <c r="I193" s="83">
        <v>2655</v>
      </c>
      <c r="J193" s="83">
        <v>2550</v>
      </c>
      <c r="K193" s="83">
        <v>2525</v>
      </c>
      <c r="L193" s="83">
        <v>-46420000</v>
      </c>
      <c r="M193" s="103" t="s">
        <v>285</v>
      </c>
      <c r="N193" s="214">
        <v>29674</v>
      </c>
      <c r="O193" s="214">
        <v>29762</v>
      </c>
      <c r="P193" s="216">
        <v>29.5</v>
      </c>
      <c r="Q193" s="216">
        <v>29.6</v>
      </c>
      <c r="R193" s="216">
        <v>29.7</v>
      </c>
      <c r="S193" s="216">
        <v>29.8</v>
      </c>
      <c r="T193" s="216">
        <v>29.9</v>
      </c>
      <c r="U193" s="216">
        <v>29.9</v>
      </c>
      <c r="V193" s="216">
        <v>30</v>
      </c>
      <c r="W193" s="216">
        <v>30.1</v>
      </c>
      <c r="X193" s="216">
        <v>30.2</v>
      </c>
    </row>
    <row r="194" spans="1:24" x14ac:dyDescent="0.2">
      <c r="A194" t="s">
        <v>631</v>
      </c>
      <c r="B194" s="125" t="s">
        <v>246</v>
      </c>
      <c r="C194" s="89">
        <f t="shared" si="4"/>
        <v>8.6099388424969812E-3</v>
      </c>
      <c r="D194" t="s">
        <v>555</v>
      </c>
      <c r="E194" s="89">
        <f t="shared" si="5"/>
        <v>2.3369036027263874E-2</v>
      </c>
      <c r="F194" s="214">
        <v>11137</v>
      </c>
      <c r="G194" s="83">
        <v>1090</v>
      </c>
      <c r="H194" s="83">
        <v>1060</v>
      </c>
      <c r="I194" s="83">
        <v>1025</v>
      </c>
      <c r="J194" s="83">
        <v>990</v>
      </c>
      <c r="K194" s="83">
        <v>970</v>
      </c>
      <c r="L194" s="83">
        <v>11819000</v>
      </c>
      <c r="M194" s="103" t="s">
        <v>246</v>
      </c>
      <c r="N194" s="214">
        <v>11164</v>
      </c>
      <c r="O194" s="214">
        <v>11137</v>
      </c>
      <c r="P194" s="216">
        <v>11.5</v>
      </c>
      <c r="Q194" s="216">
        <v>11.6</v>
      </c>
      <c r="R194" s="216">
        <v>11.7</v>
      </c>
      <c r="S194" s="216">
        <v>11.8</v>
      </c>
      <c r="T194" s="216">
        <v>11.8</v>
      </c>
      <c r="U194" s="216">
        <v>11.9</v>
      </c>
      <c r="V194" s="216">
        <v>12</v>
      </c>
      <c r="W194" s="216">
        <v>12</v>
      </c>
      <c r="X194" s="216">
        <v>12</v>
      </c>
    </row>
    <row r="195" spans="1:24" x14ac:dyDescent="0.2">
      <c r="A195" t="s">
        <v>631</v>
      </c>
      <c r="B195" s="125" t="s">
        <v>247</v>
      </c>
      <c r="C195" s="89">
        <f t="shared" ref="C195:C258" si="6">(SUM(X195*1000,-O195)/9)/O195</f>
        <v>-6.7793037199931968E-4</v>
      </c>
      <c r="D195" t="s">
        <v>555</v>
      </c>
      <c r="E195" s="89">
        <f t="shared" ref="E195:E258" si="7">SUM(G195,-K195)/SUM(G195,H195,I195,J195,K195)</f>
        <v>1.974483596597813E-2</v>
      </c>
      <c r="F195" s="214">
        <v>46383</v>
      </c>
      <c r="G195" s="83">
        <v>3475</v>
      </c>
      <c r="H195" s="83">
        <v>3370</v>
      </c>
      <c r="I195" s="83">
        <v>3270</v>
      </c>
      <c r="J195" s="83">
        <v>3195</v>
      </c>
      <c r="K195" s="83">
        <v>3150</v>
      </c>
      <c r="L195" s="83">
        <v>65420000</v>
      </c>
      <c r="M195" s="103" t="s">
        <v>247</v>
      </c>
      <c r="N195" s="214">
        <v>46173</v>
      </c>
      <c r="O195" s="214">
        <v>46383</v>
      </c>
      <c r="P195" s="216">
        <v>46.1</v>
      </c>
      <c r="Q195" s="216">
        <v>46.1</v>
      </c>
      <c r="R195" s="216">
        <v>46.1</v>
      </c>
      <c r="S195" s="216">
        <v>46.3</v>
      </c>
      <c r="T195" s="216">
        <v>46.2</v>
      </c>
      <c r="U195" s="216">
        <v>46.2</v>
      </c>
      <c r="V195" s="216">
        <v>46.1</v>
      </c>
      <c r="W195" s="216">
        <v>46.1</v>
      </c>
      <c r="X195" s="216">
        <v>46.1</v>
      </c>
    </row>
    <row r="196" spans="1:24" x14ac:dyDescent="0.2">
      <c r="A196" t="s">
        <v>630</v>
      </c>
      <c r="B196" s="125" t="s">
        <v>374</v>
      </c>
      <c r="C196" s="89">
        <f t="shared" si="6"/>
        <v>6.5727149316847826E-3</v>
      </c>
      <c r="D196" t="s">
        <v>555</v>
      </c>
      <c r="E196" s="89">
        <f t="shared" si="7"/>
        <v>2.1243523316062177E-2</v>
      </c>
      <c r="F196" s="214">
        <v>22754</v>
      </c>
      <c r="G196" s="83">
        <v>2040</v>
      </c>
      <c r="H196" s="83">
        <v>1975</v>
      </c>
      <c r="I196" s="83">
        <v>1940</v>
      </c>
      <c r="J196" s="83">
        <v>1860</v>
      </c>
      <c r="K196" s="83">
        <v>1835</v>
      </c>
      <c r="L196" s="83">
        <v>-8204000</v>
      </c>
      <c r="M196" s="103" t="s">
        <v>374</v>
      </c>
      <c r="N196" s="214">
        <v>22713</v>
      </c>
      <c r="O196" s="214">
        <v>22754</v>
      </c>
      <c r="P196" s="216">
        <v>22.8</v>
      </c>
      <c r="Q196" s="216">
        <v>23.1</v>
      </c>
      <c r="R196" s="216">
        <v>23.4</v>
      </c>
      <c r="S196" s="216">
        <v>23.6</v>
      </c>
      <c r="T196" s="216">
        <v>23.7</v>
      </c>
      <c r="U196" s="216">
        <v>23.9</v>
      </c>
      <c r="V196" s="216">
        <v>24</v>
      </c>
      <c r="W196" s="216">
        <v>24</v>
      </c>
      <c r="X196" s="216">
        <v>24.1</v>
      </c>
    </row>
    <row r="197" spans="1:24" x14ac:dyDescent="0.2">
      <c r="A197" t="s">
        <v>632</v>
      </c>
      <c r="B197" s="125" t="s">
        <v>189</v>
      </c>
      <c r="C197" s="89">
        <f t="shared" si="6"/>
        <v>3.2114239391388398E-3</v>
      </c>
      <c r="D197" t="s">
        <v>555</v>
      </c>
      <c r="E197" s="89">
        <f t="shared" si="7"/>
        <v>1.6423357664233577E-2</v>
      </c>
      <c r="F197" s="214">
        <v>10691</v>
      </c>
      <c r="G197" s="83">
        <v>1140</v>
      </c>
      <c r="H197" s="83">
        <v>1130</v>
      </c>
      <c r="I197" s="83">
        <v>1095</v>
      </c>
      <c r="J197" s="83">
        <v>1065</v>
      </c>
      <c r="K197" s="83">
        <v>1050</v>
      </c>
      <c r="L197" s="83">
        <v>14870000</v>
      </c>
      <c r="M197" s="103" t="s">
        <v>189</v>
      </c>
      <c r="N197" s="214">
        <v>10740</v>
      </c>
      <c r="O197" s="214">
        <v>10691</v>
      </c>
      <c r="P197" s="216">
        <v>11</v>
      </c>
      <c r="Q197" s="216">
        <v>11</v>
      </c>
      <c r="R197" s="216">
        <v>11</v>
      </c>
      <c r="S197" s="216">
        <v>11</v>
      </c>
      <c r="T197" s="216">
        <v>11</v>
      </c>
      <c r="U197" s="216">
        <v>11</v>
      </c>
      <c r="V197" s="216">
        <v>11</v>
      </c>
      <c r="W197" s="216">
        <v>11</v>
      </c>
      <c r="X197" s="216">
        <v>11</v>
      </c>
    </row>
    <row r="198" spans="1:24" x14ac:dyDescent="0.2">
      <c r="A198" t="s">
        <v>631</v>
      </c>
      <c r="B198" s="125" t="s">
        <v>248</v>
      </c>
      <c r="C198" s="89">
        <f t="shared" si="6"/>
        <v>-5.3632083904415703E-4</v>
      </c>
      <c r="D198" t="s">
        <v>555</v>
      </c>
      <c r="E198" s="89">
        <f t="shared" si="7"/>
        <v>2.5238534933825791E-2</v>
      </c>
      <c r="F198" s="214">
        <v>33562</v>
      </c>
      <c r="G198" s="83">
        <v>3475</v>
      </c>
      <c r="H198" s="83">
        <v>3345</v>
      </c>
      <c r="I198" s="83">
        <v>3235</v>
      </c>
      <c r="J198" s="83">
        <v>3125</v>
      </c>
      <c r="K198" s="83">
        <v>3065</v>
      </c>
      <c r="L198" s="83">
        <v>-3531000</v>
      </c>
      <c r="M198" s="103" t="s">
        <v>248</v>
      </c>
      <c r="N198" s="214">
        <v>33543</v>
      </c>
      <c r="O198" s="214">
        <v>33562</v>
      </c>
      <c r="P198" s="216">
        <v>33.4</v>
      </c>
      <c r="Q198" s="216">
        <v>33.5</v>
      </c>
      <c r="R198" s="216">
        <v>33.5</v>
      </c>
      <c r="S198" s="216">
        <v>33.5</v>
      </c>
      <c r="T198" s="216">
        <v>33.5</v>
      </c>
      <c r="U198" s="216">
        <v>33.5</v>
      </c>
      <c r="V198" s="216">
        <v>33.5</v>
      </c>
      <c r="W198" s="216">
        <v>33.4</v>
      </c>
      <c r="X198" s="216">
        <v>33.4</v>
      </c>
    </row>
    <row r="199" spans="1:24" x14ac:dyDescent="0.2">
      <c r="A199" t="s">
        <v>629</v>
      </c>
      <c r="B199" s="125" t="s">
        <v>451</v>
      </c>
      <c r="C199" s="89">
        <f t="shared" si="6"/>
        <v>1.3164595885343095E-3</v>
      </c>
      <c r="D199" t="s">
        <v>555</v>
      </c>
      <c r="E199" s="89">
        <f t="shared" si="7"/>
        <v>1.6691957511380879E-2</v>
      </c>
      <c r="F199" s="214">
        <v>23126</v>
      </c>
      <c r="G199" s="83">
        <v>2070</v>
      </c>
      <c r="H199" s="83">
        <v>2015</v>
      </c>
      <c r="I199" s="83">
        <v>1975</v>
      </c>
      <c r="J199" s="83">
        <v>1920</v>
      </c>
      <c r="K199" s="83">
        <v>1905</v>
      </c>
      <c r="L199" s="83">
        <v>8289000</v>
      </c>
      <c r="M199" s="103" t="s">
        <v>451</v>
      </c>
      <c r="N199" s="214">
        <v>23095</v>
      </c>
      <c r="O199" s="214">
        <v>23126</v>
      </c>
      <c r="P199" s="216">
        <v>23.2</v>
      </c>
      <c r="Q199" s="216">
        <v>23.3</v>
      </c>
      <c r="R199" s="216">
        <v>23.4</v>
      </c>
      <c r="S199" s="216">
        <v>23.4</v>
      </c>
      <c r="T199" s="216">
        <v>23.5</v>
      </c>
      <c r="U199" s="216">
        <v>23.4</v>
      </c>
      <c r="V199" s="216">
        <v>23.4</v>
      </c>
      <c r="W199" s="216">
        <v>23.4</v>
      </c>
      <c r="X199" s="216">
        <v>23.4</v>
      </c>
    </row>
    <row r="200" spans="1:24" x14ac:dyDescent="0.2">
      <c r="A200" t="s">
        <v>631</v>
      </c>
      <c r="B200" s="125" t="s">
        <v>286</v>
      </c>
      <c r="C200" s="89">
        <f t="shared" si="6"/>
        <v>-5.2983610609079823E-3</v>
      </c>
      <c r="D200" t="s">
        <v>555</v>
      </c>
      <c r="E200" s="89">
        <f t="shared" si="7"/>
        <v>2.1364576154376293E-2</v>
      </c>
      <c r="F200" s="214">
        <v>14386</v>
      </c>
      <c r="G200" s="83">
        <v>1540</v>
      </c>
      <c r="H200" s="83">
        <v>1495</v>
      </c>
      <c r="I200" s="83">
        <v>1440</v>
      </c>
      <c r="J200" s="83">
        <v>1395</v>
      </c>
      <c r="K200" s="83">
        <v>1385</v>
      </c>
      <c r="L200" s="83">
        <v>-6015000</v>
      </c>
      <c r="M200" s="103" t="s">
        <v>286</v>
      </c>
      <c r="N200" s="214">
        <v>14207</v>
      </c>
      <c r="O200" s="214">
        <v>14386</v>
      </c>
      <c r="P200" s="216">
        <v>14.3</v>
      </c>
      <c r="Q200" s="216">
        <v>14.3</v>
      </c>
      <c r="R200" s="216">
        <v>14.3</v>
      </c>
      <c r="S200" s="216">
        <v>14.3</v>
      </c>
      <c r="T200" s="216">
        <v>14.2</v>
      </c>
      <c r="U200" s="216">
        <v>14.1</v>
      </c>
      <c r="V200" s="216">
        <v>14</v>
      </c>
      <c r="W200" s="216">
        <v>13.8</v>
      </c>
      <c r="X200" s="216">
        <v>13.7</v>
      </c>
    </row>
    <row r="201" spans="1:24" x14ac:dyDescent="0.2">
      <c r="A201" t="s">
        <v>637</v>
      </c>
      <c r="B201" s="125" t="s">
        <v>167</v>
      </c>
      <c r="C201" s="89">
        <f t="shared" si="6"/>
        <v>5.3312328047764191E-3</v>
      </c>
      <c r="D201" t="s">
        <v>155</v>
      </c>
      <c r="E201" s="89">
        <f t="shared" si="7"/>
        <v>1.1862396204033216E-3</v>
      </c>
      <c r="F201" s="214">
        <v>9733</v>
      </c>
      <c r="G201" s="83">
        <v>855</v>
      </c>
      <c r="H201" s="83">
        <v>850</v>
      </c>
      <c r="I201" s="83">
        <v>825</v>
      </c>
      <c r="J201" s="83">
        <v>835</v>
      </c>
      <c r="K201" s="83">
        <v>850</v>
      </c>
      <c r="L201" s="83">
        <v>7040000</v>
      </c>
      <c r="M201" s="103" t="s">
        <v>167</v>
      </c>
      <c r="N201" s="214">
        <v>9915</v>
      </c>
      <c r="O201" s="214">
        <v>9733</v>
      </c>
      <c r="P201" s="216">
        <v>10.1</v>
      </c>
      <c r="Q201" s="216">
        <v>10.199999999999999</v>
      </c>
      <c r="R201" s="216">
        <v>10.1</v>
      </c>
      <c r="S201" s="216">
        <v>10.199999999999999</v>
      </c>
      <c r="T201" s="216">
        <v>10.199999999999999</v>
      </c>
      <c r="U201" s="216">
        <v>10.199999999999999</v>
      </c>
      <c r="V201" s="216">
        <v>10.199999999999999</v>
      </c>
      <c r="W201" s="216">
        <v>10.199999999999999</v>
      </c>
      <c r="X201" s="216">
        <v>10.199999999999999</v>
      </c>
    </row>
    <row r="202" spans="1:24" x14ac:dyDescent="0.2">
      <c r="A202" t="s">
        <v>634</v>
      </c>
      <c r="B202" s="125" t="s">
        <v>210</v>
      </c>
      <c r="C202" s="89">
        <f t="shared" si="6"/>
        <v>-3.6859637711154475E-3</v>
      </c>
      <c r="D202" t="s">
        <v>155</v>
      </c>
      <c r="E202" s="89">
        <f t="shared" si="7"/>
        <v>2.269861286254729E-2</v>
      </c>
      <c r="F202" s="214">
        <v>22548</v>
      </c>
      <c r="G202" s="83">
        <v>1690</v>
      </c>
      <c r="H202" s="83">
        <v>1640</v>
      </c>
      <c r="I202" s="83">
        <v>1585</v>
      </c>
      <c r="J202" s="83">
        <v>1505</v>
      </c>
      <c r="K202" s="83">
        <v>1510</v>
      </c>
      <c r="L202" s="83">
        <v>27649000</v>
      </c>
      <c r="M202" s="103" t="s">
        <v>210</v>
      </c>
      <c r="N202" s="214">
        <v>22480</v>
      </c>
      <c r="O202" s="214">
        <v>22548</v>
      </c>
      <c r="P202" s="216">
        <v>22.4</v>
      </c>
      <c r="Q202" s="216">
        <v>22.4</v>
      </c>
      <c r="R202" s="216">
        <v>22.4</v>
      </c>
      <c r="S202" s="216">
        <v>22.3</v>
      </c>
      <c r="T202" s="216">
        <v>22.2</v>
      </c>
      <c r="U202" s="216">
        <v>22.1</v>
      </c>
      <c r="V202" s="216">
        <v>22</v>
      </c>
      <c r="W202" s="216">
        <v>21.9</v>
      </c>
      <c r="X202" s="216">
        <v>21.8</v>
      </c>
    </row>
    <row r="203" spans="1:24" x14ac:dyDescent="0.2">
      <c r="A203" t="s">
        <v>631</v>
      </c>
      <c r="B203" s="125" t="s">
        <v>249</v>
      </c>
      <c r="C203" s="89">
        <f t="shared" si="6"/>
        <v>7.90159995980689E-4</v>
      </c>
      <c r="D203" t="s">
        <v>555</v>
      </c>
      <c r="E203" s="89">
        <f t="shared" si="7"/>
        <v>1.5769626328419609E-2</v>
      </c>
      <c r="F203" s="214">
        <v>24327</v>
      </c>
      <c r="G203" s="83">
        <v>3035</v>
      </c>
      <c r="H203" s="83">
        <v>2995</v>
      </c>
      <c r="I203" s="83">
        <v>2925</v>
      </c>
      <c r="J203" s="83">
        <v>2825</v>
      </c>
      <c r="K203" s="83">
        <v>2805</v>
      </c>
      <c r="L203" s="83">
        <v>33672000</v>
      </c>
      <c r="M203" s="103" t="s">
        <v>249</v>
      </c>
      <c r="N203" s="214">
        <v>24254</v>
      </c>
      <c r="O203" s="214">
        <v>24327</v>
      </c>
      <c r="P203" s="216">
        <v>24.4</v>
      </c>
      <c r="Q203" s="216">
        <v>24.4</v>
      </c>
      <c r="R203" s="216">
        <v>24.4</v>
      </c>
      <c r="S203" s="216">
        <v>24.4</v>
      </c>
      <c r="T203" s="216">
        <v>24.4</v>
      </c>
      <c r="U203" s="216">
        <v>24.4</v>
      </c>
      <c r="V203" s="216">
        <v>24.4</v>
      </c>
      <c r="W203" s="216">
        <v>24.5</v>
      </c>
      <c r="X203" s="216">
        <v>24.5</v>
      </c>
    </row>
    <row r="204" spans="1:24" x14ac:dyDescent="0.2">
      <c r="A204" t="s">
        <v>638</v>
      </c>
      <c r="B204" s="125" t="s">
        <v>491</v>
      </c>
      <c r="C204" s="89">
        <f t="shared" si="6"/>
        <v>-4.2464636238364406E-3</v>
      </c>
      <c r="D204" t="s">
        <v>155</v>
      </c>
      <c r="E204" s="89">
        <f t="shared" si="7"/>
        <v>1.4676113360323886E-2</v>
      </c>
      <c r="F204" s="214">
        <v>23706</v>
      </c>
      <c r="G204" s="83">
        <v>2055</v>
      </c>
      <c r="H204" s="83">
        <v>2005</v>
      </c>
      <c r="I204" s="83">
        <v>1975</v>
      </c>
      <c r="J204" s="83">
        <v>1935</v>
      </c>
      <c r="K204" s="83">
        <v>1910</v>
      </c>
      <c r="L204" s="83">
        <v>-39462000</v>
      </c>
      <c r="M204" s="103" t="s">
        <v>491</v>
      </c>
      <c r="N204" s="214">
        <v>23773</v>
      </c>
      <c r="O204" s="214">
        <v>23706</v>
      </c>
      <c r="P204" s="216">
        <v>23.5</v>
      </c>
      <c r="Q204" s="216">
        <v>23.5</v>
      </c>
      <c r="R204" s="216">
        <v>23.4</v>
      </c>
      <c r="S204" s="216">
        <v>23.3</v>
      </c>
      <c r="T204" s="216">
        <v>23.2</v>
      </c>
      <c r="U204" s="216">
        <v>23.1</v>
      </c>
      <c r="V204" s="216">
        <v>23</v>
      </c>
      <c r="W204" s="216">
        <v>22.8</v>
      </c>
      <c r="X204" s="216">
        <v>22.8</v>
      </c>
    </row>
    <row r="205" spans="1:24" x14ac:dyDescent="0.2">
      <c r="A205" t="s">
        <v>633</v>
      </c>
      <c r="B205" s="125" t="s">
        <v>375</v>
      </c>
      <c r="C205" s="89">
        <f t="shared" si="6"/>
        <v>3.0242452201548003E-3</v>
      </c>
      <c r="D205" t="s">
        <v>155</v>
      </c>
      <c r="E205" s="89">
        <f t="shared" si="7"/>
        <v>3.0446194225721784E-2</v>
      </c>
      <c r="F205" s="214">
        <v>32515</v>
      </c>
      <c r="G205" s="83">
        <v>2070</v>
      </c>
      <c r="H205" s="83">
        <v>1950</v>
      </c>
      <c r="I205" s="83">
        <v>1925</v>
      </c>
      <c r="J205" s="83">
        <v>1800</v>
      </c>
      <c r="K205" s="83">
        <v>1780</v>
      </c>
      <c r="L205" s="83">
        <v>54816000</v>
      </c>
      <c r="M205" s="103" t="s">
        <v>375</v>
      </c>
      <c r="N205" s="214">
        <v>32443</v>
      </c>
      <c r="O205" s="214">
        <v>32515</v>
      </c>
      <c r="P205" s="216">
        <v>32.6</v>
      </c>
      <c r="Q205" s="216">
        <v>32.700000000000003</v>
      </c>
      <c r="R205" s="216">
        <v>32.700000000000003</v>
      </c>
      <c r="S205" s="216">
        <v>32.700000000000003</v>
      </c>
      <c r="T205" s="216">
        <v>32.799999999999997</v>
      </c>
      <c r="U205" s="216">
        <v>33</v>
      </c>
      <c r="V205" s="216">
        <v>33.200000000000003</v>
      </c>
      <c r="W205" s="216">
        <v>33.299999999999997</v>
      </c>
      <c r="X205" s="216">
        <v>33.4</v>
      </c>
    </row>
    <row r="206" spans="1:24" x14ac:dyDescent="0.2">
      <c r="A206" t="s">
        <v>638</v>
      </c>
      <c r="B206" s="125" t="s">
        <v>492</v>
      </c>
      <c r="C206" s="89">
        <f t="shared" si="6"/>
        <v>3.5167016163789198E-3</v>
      </c>
      <c r="D206" t="s">
        <v>526</v>
      </c>
      <c r="E206" s="89">
        <f t="shared" si="7"/>
        <v>1.7185322805387832E-2</v>
      </c>
      <c r="F206" s="214">
        <v>122716</v>
      </c>
      <c r="G206" s="83">
        <v>9035</v>
      </c>
      <c r="H206" s="83">
        <v>8800</v>
      </c>
      <c r="I206" s="83">
        <v>8540</v>
      </c>
      <c r="J206" s="83">
        <v>8390</v>
      </c>
      <c r="K206" s="83">
        <v>8295</v>
      </c>
      <c r="L206" s="83">
        <v>53794000</v>
      </c>
      <c r="M206" s="103" t="s">
        <v>492</v>
      </c>
      <c r="N206" s="214">
        <v>122798</v>
      </c>
      <c r="O206" s="214">
        <v>122716</v>
      </c>
      <c r="P206" s="216">
        <v>124.1</v>
      </c>
      <c r="Q206" s="216">
        <v>124.3</v>
      </c>
      <c r="R206" s="216">
        <v>124.4</v>
      </c>
      <c r="S206" s="216">
        <v>124.4</v>
      </c>
      <c r="T206" s="216">
        <v>124.6</v>
      </c>
      <c r="U206" s="216">
        <v>125</v>
      </c>
      <c r="V206" s="216">
        <v>125.5</v>
      </c>
      <c r="W206" s="216">
        <v>126</v>
      </c>
      <c r="X206" s="216">
        <v>126.6</v>
      </c>
    </row>
    <row r="207" spans="1:24" x14ac:dyDescent="0.2">
      <c r="A207" t="s">
        <v>637</v>
      </c>
      <c r="B207" s="125" t="s">
        <v>168</v>
      </c>
      <c r="C207" s="89">
        <f t="shared" si="6"/>
        <v>-4.1309183349221481E-3</v>
      </c>
      <c r="D207" t="s">
        <v>155</v>
      </c>
      <c r="E207" s="89">
        <f t="shared" si="7"/>
        <v>3.1727379553466509E-2</v>
      </c>
      <c r="F207" s="214">
        <v>10490</v>
      </c>
      <c r="G207" s="83">
        <v>915</v>
      </c>
      <c r="H207" s="83">
        <v>895</v>
      </c>
      <c r="I207" s="83">
        <v>860</v>
      </c>
      <c r="J207" s="83">
        <v>805</v>
      </c>
      <c r="K207" s="83">
        <v>780</v>
      </c>
      <c r="L207" s="83">
        <v>19095000</v>
      </c>
      <c r="M207" s="103" t="s">
        <v>168</v>
      </c>
      <c r="N207" s="214">
        <v>10394</v>
      </c>
      <c r="O207" s="214">
        <v>10490</v>
      </c>
      <c r="P207" s="216">
        <v>10.5</v>
      </c>
      <c r="Q207" s="216">
        <v>10.5</v>
      </c>
      <c r="R207" s="216">
        <v>10.5</v>
      </c>
      <c r="S207" s="216">
        <v>10.5</v>
      </c>
      <c r="T207" s="216">
        <v>10.4</v>
      </c>
      <c r="U207" s="216">
        <v>10.3</v>
      </c>
      <c r="V207" s="216">
        <v>10.3</v>
      </c>
      <c r="W207" s="216">
        <v>10.199999999999999</v>
      </c>
      <c r="X207" s="216">
        <v>10.1</v>
      </c>
    </row>
    <row r="208" spans="1:24" x14ac:dyDescent="0.2">
      <c r="A208" t="s">
        <v>630</v>
      </c>
      <c r="B208" s="125" t="s">
        <v>329</v>
      </c>
      <c r="C208" s="89">
        <f t="shared" si="6"/>
        <v>-1.9459869951113009E-3</v>
      </c>
      <c r="D208" t="s">
        <v>155</v>
      </c>
      <c r="E208" s="89">
        <f t="shared" si="7"/>
        <v>1.9154403176827844E-2</v>
      </c>
      <c r="F208" s="214">
        <v>44479</v>
      </c>
      <c r="G208" s="83">
        <v>4515</v>
      </c>
      <c r="H208" s="83">
        <v>4365</v>
      </c>
      <c r="I208" s="83">
        <v>4250</v>
      </c>
      <c r="J208" s="83">
        <v>4170</v>
      </c>
      <c r="K208" s="83">
        <v>4105</v>
      </c>
      <c r="L208" s="83">
        <v>23457000</v>
      </c>
      <c r="M208" s="103" t="s">
        <v>329</v>
      </c>
      <c r="N208" s="214">
        <v>44058</v>
      </c>
      <c r="O208" s="214">
        <v>44479</v>
      </c>
      <c r="P208" s="216">
        <v>43.9</v>
      </c>
      <c r="Q208" s="216">
        <v>44</v>
      </c>
      <c r="R208" s="216">
        <v>44</v>
      </c>
      <c r="S208" s="216">
        <v>44</v>
      </c>
      <c r="T208" s="216">
        <v>43.9</v>
      </c>
      <c r="U208" s="216">
        <v>43.9</v>
      </c>
      <c r="V208" s="216">
        <v>43.8</v>
      </c>
      <c r="W208" s="216">
        <v>43.8</v>
      </c>
      <c r="X208" s="216">
        <v>43.7</v>
      </c>
    </row>
    <row r="209" spans="1:24" x14ac:dyDescent="0.2">
      <c r="A209" t="s">
        <v>638</v>
      </c>
      <c r="B209" s="125" t="s">
        <v>493</v>
      </c>
      <c r="C209" s="89">
        <f t="shared" si="6"/>
        <v>3.2859986108922392E-3</v>
      </c>
      <c r="D209" t="s">
        <v>155</v>
      </c>
      <c r="E209" s="89">
        <f t="shared" si="7"/>
        <v>2.3758099352051837E-2</v>
      </c>
      <c r="F209" s="214">
        <v>19037</v>
      </c>
      <c r="G209" s="83">
        <v>1470</v>
      </c>
      <c r="H209" s="83">
        <v>1425</v>
      </c>
      <c r="I209" s="83">
        <v>1410</v>
      </c>
      <c r="J209" s="83">
        <v>1335</v>
      </c>
      <c r="K209" s="83">
        <v>1305</v>
      </c>
      <c r="L209" s="83">
        <v>-8720000</v>
      </c>
      <c r="M209" s="103" t="s">
        <v>493</v>
      </c>
      <c r="N209" s="215">
        <v>19068</v>
      </c>
      <c r="O209" s="214">
        <v>19037</v>
      </c>
      <c r="P209" s="216">
        <v>19.399999999999999</v>
      </c>
      <c r="Q209" s="216">
        <v>19.5</v>
      </c>
      <c r="R209" s="216">
        <v>19.600000000000001</v>
      </c>
      <c r="S209" s="216">
        <v>19.600000000000001</v>
      </c>
      <c r="T209" s="216">
        <v>19.600000000000001</v>
      </c>
      <c r="U209" s="216">
        <v>19.600000000000001</v>
      </c>
      <c r="V209" s="216">
        <v>19.7</v>
      </c>
      <c r="W209" s="216">
        <v>19.7</v>
      </c>
      <c r="X209" s="216">
        <v>19.600000000000001</v>
      </c>
    </row>
    <row r="210" spans="1:24" x14ac:dyDescent="0.2">
      <c r="A210" t="s">
        <v>629</v>
      </c>
      <c r="B210" s="125" t="s">
        <v>713</v>
      </c>
      <c r="C210" s="89">
        <f t="shared" si="6"/>
        <v>4.0550691135668804E-3</v>
      </c>
      <c r="D210" t="s">
        <v>555</v>
      </c>
      <c r="E210" s="89">
        <f t="shared" si="7"/>
        <v>1.7756255044390639E-2</v>
      </c>
      <c r="F210" s="214">
        <v>80174</v>
      </c>
      <c r="G210" s="83">
        <v>7780</v>
      </c>
      <c r="H210" s="83">
        <v>7620</v>
      </c>
      <c r="I210" s="83">
        <v>7425</v>
      </c>
      <c r="J210" s="83">
        <v>7225</v>
      </c>
      <c r="K210" s="83">
        <v>7120</v>
      </c>
      <c r="L210" s="83">
        <v>156230000</v>
      </c>
      <c r="M210" s="103" t="s">
        <v>713</v>
      </c>
      <c r="N210" s="214">
        <v>79835</v>
      </c>
      <c r="O210" s="214">
        <v>80174</v>
      </c>
      <c r="P210" s="216">
        <v>80.900000000000006</v>
      </c>
      <c r="Q210" s="216">
        <v>81.400000000000006</v>
      </c>
      <c r="R210" s="216">
        <v>81.8</v>
      </c>
      <c r="S210" s="216">
        <v>82</v>
      </c>
      <c r="T210" s="216">
        <v>82.3</v>
      </c>
      <c r="U210" s="216">
        <v>82.6</v>
      </c>
      <c r="V210" s="216">
        <v>82.8</v>
      </c>
      <c r="W210" s="216">
        <v>82.9</v>
      </c>
      <c r="X210" s="216">
        <v>83.1</v>
      </c>
    </row>
    <row r="211" spans="1:24" s="105" customFormat="1" x14ac:dyDescent="0.2">
      <c r="A211" s="105" t="s">
        <v>632</v>
      </c>
      <c r="B211" s="125" t="s">
        <v>190</v>
      </c>
      <c r="C211" s="89">
        <f t="shared" si="6"/>
        <v>-7.7480919186657081E-3</v>
      </c>
      <c r="D211" t="s">
        <v>555</v>
      </c>
      <c r="E211" s="89">
        <f t="shared" si="7"/>
        <v>8.7378640776699032E-3</v>
      </c>
      <c r="F211" s="214">
        <v>13437</v>
      </c>
      <c r="G211" s="83">
        <v>1045</v>
      </c>
      <c r="H211" s="83">
        <v>1060</v>
      </c>
      <c r="I211" s="104">
        <v>1035</v>
      </c>
      <c r="J211" s="83">
        <v>1010</v>
      </c>
      <c r="K211" s="104">
        <v>1000</v>
      </c>
      <c r="L211" s="104">
        <v>9706000</v>
      </c>
      <c r="M211" s="106" t="s">
        <v>190</v>
      </c>
      <c r="N211" s="214">
        <v>13452</v>
      </c>
      <c r="O211" s="214">
        <v>13437</v>
      </c>
      <c r="P211" s="216">
        <v>13.3</v>
      </c>
      <c r="Q211" s="216">
        <v>13.2</v>
      </c>
      <c r="R211" s="216">
        <v>13.1</v>
      </c>
      <c r="S211" s="216">
        <v>13</v>
      </c>
      <c r="T211" s="216">
        <v>12.9</v>
      </c>
      <c r="U211" s="216">
        <v>12.9</v>
      </c>
      <c r="V211" s="216">
        <v>12.7</v>
      </c>
      <c r="W211" s="216">
        <v>12.6</v>
      </c>
      <c r="X211" s="216">
        <v>12.5</v>
      </c>
    </row>
    <row r="212" spans="1:24" x14ac:dyDescent="0.2">
      <c r="A212" t="s">
        <v>637</v>
      </c>
      <c r="B212" s="125" t="s">
        <v>169</v>
      </c>
      <c r="C212" s="89">
        <f t="shared" si="6"/>
        <v>-7.5023820756898773E-3</v>
      </c>
      <c r="D212" t="s">
        <v>526</v>
      </c>
      <c r="E212" s="89">
        <f t="shared" si="7"/>
        <v>3.0188679245283019E-2</v>
      </c>
      <c r="F212" s="214">
        <v>12011</v>
      </c>
      <c r="G212" s="83">
        <v>860</v>
      </c>
      <c r="H212" s="83">
        <v>835</v>
      </c>
      <c r="I212" s="83">
        <v>785</v>
      </c>
      <c r="J212" s="83">
        <v>755</v>
      </c>
      <c r="K212" s="83">
        <v>740</v>
      </c>
      <c r="L212" s="83">
        <v>17135000</v>
      </c>
      <c r="M212" s="103" t="s">
        <v>169</v>
      </c>
      <c r="N212" s="214">
        <v>12168</v>
      </c>
      <c r="O212" s="214">
        <v>12011</v>
      </c>
      <c r="P212" s="216">
        <v>12.1</v>
      </c>
      <c r="Q212" s="216">
        <v>12</v>
      </c>
      <c r="R212" s="216">
        <v>11.9</v>
      </c>
      <c r="S212" s="216">
        <v>11.8</v>
      </c>
      <c r="T212" s="216">
        <v>11.7</v>
      </c>
      <c r="U212" s="216">
        <v>11.6</v>
      </c>
      <c r="V212" s="216">
        <v>11.5</v>
      </c>
      <c r="W212" s="216">
        <v>11.4</v>
      </c>
      <c r="X212" s="216">
        <v>11.2</v>
      </c>
    </row>
    <row r="213" spans="1:24" x14ac:dyDescent="0.2">
      <c r="A213" t="s">
        <v>628</v>
      </c>
      <c r="B213" s="125" t="s">
        <v>149</v>
      </c>
      <c r="C213" s="89">
        <f t="shared" si="6"/>
        <v>2.5966599173457543E-3</v>
      </c>
      <c r="D213" t="s">
        <v>155</v>
      </c>
      <c r="E213" s="89">
        <f t="shared" si="7"/>
        <v>1.3731825525040387E-2</v>
      </c>
      <c r="F213" s="214">
        <v>33419</v>
      </c>
      <c r="G213" s="83">
        <v>2555</v>
      </c>
      <c r="H213" s="83">
        <v>2550</v>
      </c>
      <c r="I213" s="83">
        <v>2460</v>
      </c>
      <c r="J213" s="83">
        <v>2430</v>
      </c>
      <c r="K213" s="83">
        <v>2385</v>
      </c>
      <c r="L213" s="83">
        <v>107546000</v>
      </c>
      <c r="M213" s="103" t="s">
        <v>149</v>
      </c>
      <c r="N213" s="214">
        <v>33016</v>
      </c>
      <c r="O213" s="214">
        <v>33419</v>
      </c>
      <c r="P213" s="216">
        <v>33.200000000000003</v>
      </c>
      <c r="Q213" s="216">
        <v>33.4</v>
      </c>
      <c r="R213" s="216">
        <v>33.6</v>
      </c>
      <c r="S213" s="216">
        <v>33.700000000000003</v>
      </c>
      <c r="T213" s="216">
        <v>33.799999999999997</v>
      </c>
      <c r="U213" s="216">
        <v>33.9</v>
      </c>
      <c r="V213" s="216">
        <v>34</v>
      </c>
      <c r="W213" s="216">
        <v>34.1</v>
      </c>
      <c r="X213" s="216">
        <v>34.200000000000003</v>
      </c>
    </row>
    <row r="214" spans="1:24" x14ac:dyDescent="0.2">
      <c r="A214" t="s">
        <v>640</v>
      </c>
      <c r="B214" s="125" t="s">
        <v>407</v>
      </c>
      <c r="C214" s="89">
        <f t="shared" si="6"/>
        <v>2.2933933250062683E-3</v>
      </c>
      <c r="D214" t="s">
        <v>155</v>
      </c>
      <c r="E214" s="89">
        <f t="shared" si="7"/>
        <v>1.773490976975731E-2</v>
      </c>
      <c r="F214" s="214">
        <v>48303</v>
      </c>
      <c r="G214" s="83">
        <v>3350</v>
      </c>
      <c r="H214" s="83">
        <v>3310</v>
      </c>
      <c r="I214" s="83">
        <v>3210</v>
      </c>
      <c r="J214" s="83">
        <v>3135</v>
      </c>
      <c r="K214" s="83">
        <v>3065</v>
      </c>
      <c r="L214" s="83">
        <v>199052000</v>
      </c>
      <c r="M214" s="103" t="s">
        <v>407</v>
      </c>
      <c r="N214" s="214">
        <v>48025</v>
      </c>
      <c r="O214" s="214">
        <v>48303</v>
      </c>
      <c r="P214" s="216">
        <v>48.3</v>
      </c>
      <c r="Q214" s="216">
        <v>48.6</v>
      </c>
      <c r="R214" s="216">
        <v>48.8</v>
      </c>
      <c r="S214" s="216">
        <v>48.9</v>
      </c>
      <c r="T214" s="216">
        <v>49.1</v>
      </c>
      <c r="U214" s="216">
        <v>49.2</v>
      </c>
      <c r="V214" s="216">
        <v>49.2</v>
      </c>
      <c r="W214" s="216">
        <v>49.3</v>
      </c>
      <c r="X214" s="216">
        <v>49.3</v>
      </c>
    </row>
    <row r="215" spans="1:24" x14ac:dyDescent="0.2">
      <c r="A215" t="s">
        <v>628</v>
      </c>
      <c r="B215" s="125" t="s">
        <v>376</v>
      </c>
      <c r="C215" s="89">
        <f t="shared" si="6"/>
        <v>4.3842259801302047E-3</v>
      </c>
      <c r="D215" t="s">
        <v>555</v>
      </c>
      <c r="E215" s="89">
        <f t="shared" si="7"/>
        <v>2.6171637248934874E-2</v>
      </c>
      <c r="F215" s="214">
        <v>19337</v>
      </c>
      <c r="G215" s="83">
        <v>1750</v>
      </c>
      <c r="H215" s="83">
        <v>1705</v>
      </c>
      <c r="I215" s="83">
        <v>1645</v>
      </c>
      <c r="J215" s="83">
        <v>1580</v>
      </c>
      <c r="K215" s="83">
        <v>1535</v>
      </c>
      <c r="L215" s="83">
        <v>-12635000</v>
      </c>
      <c r="M215" s="103" t="s">
        <v>376</v>
      </c>
      <c r="N215" s="214">
        <v>19034</v>
      </c>
      <c r="O215" s="214">
        <v>19337</v>
      </c>
      <c r="P215" s="216">
        <v>19.7</v>
      </c>
      <c r="Q215" s="216">
        <v>19.8</v>
      </c>
      <c r="R215" s="216">
        <v>19.8</v>
      </c>
      <c r="S215" s="216">
        <v>19.899999999999999</v>
      </c>
      <c r="T215" s="216">
        <v>20</v>
      </c>
      <c r="U215" s="216">
        <v>20.100000000000001</v>
      </c>
      <c r="V215" s="216">
        <v>20</v>
      </c>
      <c r="W215" s="216">
        <v>20.100000000000001</v>
      </c>
      <c r="X215" s="216">
        <v>20.100000000000001</v>
      </c>
    </row>
    <row r="216" spans="1:24" x14ac:dyDescent="0.2">
      <c r="A216" t="s">
        <v>633</v>
      </c>
      <c r="B216" s="125" t="s">
        <v>150</v>
      </c>
      <c r="C216" s="89">
        <f t="shared" si="6"/>
        <v>-2.2344834055269126E-3</v>
      </c>
      <c r="D216" t="s">
        <v>155</v>
      </c>
      <c r="E216" s="89">
        <f t="shared" si="7"/>
        <v>1.8254837531945966E-2</v>
      </c>
      <c r="F216" s="214">
        <v>33167</v>
      </c>
      <c r="G216" s="83">
        <v>2865</v>
      </c>
      <c r="H216" s="83">
        <v>2815</v>
      </c>
      <c r="I216" s="83">
        <v>2735</v>
      </c>
      <c r="J216" s="83">
        <v>2665</v>
      </c>
      <c r="K216" s="83">
        <v>2615</v>
      </c>
      <c r="L216" s="83">
        <v>38959000</v>
      </c>
      <c r="M216" s="103" t="s">
        <v>150</v>
      </c>
      <c r="N216" s="214">
        <v>33411</v>
      </c>
      <c r="O216" s="214">
        <v>33167</v>
      </c>
      <c r="P216" s="216">
        <v>33.299999999999997</v>
      </c>
      <c r="Q216" s="216">
        <v>33.1</v>
      </c>
      <c r="R216" s="216">
        <v>33.1</v>
      </c>
      <c r="S216" s="216">
        <v>33</v>
      </c>
      <c r="T216" s="216">
        <v>32.9</v>
      </c>
      <c r="U216" s="216">
        <v>32.799999999999997</v>
      </c>
      <c r="V216" s="216">
        <v>32.700000000000003</v>
      </c>
      <c r="W216" s="216">
        <v>32.6</v>
      </c>
      <c r="X216" s="216">
        <v>32.5</v>
      </c>
    </row>
    <row r="217" spans="1:24" x14ac:dyDescent="0.2">
      <c r="A217" t="s">
        <v>638</v>
      </c>
      <c r="B217" s="125" t="s">
        <v>452</v>
      </c>
      <c r="C217" s="89">
        <f t="shared" si="6"/>
        <v>-1.3134671427985059E-3</v>
      </c>
      <c r="D217" t="s">
        <v>555</v>
      </c>
      <c r="E217" s="89">
        <f t="shared" si="7"/>
        <v>1.8627450980392157E-2</v>
      </c>
      <c r="F217" s="214">
        <v>10828</v>
      </c>
      <c r="G217" s="83">
        <v>1065</v>
      </c>
      <c r="H217" s="83">
        <v>1040</v>
      </c>
      <c r="I217" s="83">
        <v>1035</v>
      </c>
      <c r="J217" s="83">
        <v>990</v>
      </c>
      <c r="K217" s="83">
        <v>970</v>
      </c>
      <c r="L217" s="83">
        <v>882000</v>
      </c>
      <c r="M217" s="103" t="s">
        <v>452</v>
      </c>
      <c r="N217" s="214">
        <v>10807</v>
      </c>
      <c r="O217" s="214">
        <v>10828</v>
      </c>
      <c r="P217" s="216">
        <v>10.6</v>
      </c>
      <c r="Q217" s="216">
        <v>10.6</v>
      </c>
      <c r="R217" s="216">
        <v>10.6</v>
      </c>
      <c r="S217" s="216">
        <v>10.6</v>
      </c>
      <c r="T217" s="216">
        <v>10.6</v>
      </c>
      <c r="U217" s="216">
        <v>10.6</v>
      </c>
      <c r="V217" s="216">
        <v>10.6</v>
      </c>
      <c r="W217" s="216">
        <v>10.7</v>
      </c>
      <c r="X217" s="216">
        <v>10.7</v>
      </c>
    </row>
    <row r="218" spans="1:24" x14ac:dyDescent="0.2">
      <c r="A218" t="s">
        <v>629</v>
      </c>
      <c r="B218" s="125" t="s">
        <v>453</v>
      </c>
      <c r="C218" s="89">
        <f t="shared" si="6"/>
        <v>-4.1058750683811551E-3</v>
      </c>
      <c r="D218" t="s">
        <v>555</v>
      </c>
      <c r="E218" s="89">
        <f t="shared" si="7"/>
        <v>1.1092150170648464E-2</v>
      </c>
      <c r="F218" s="214">
        <v>36966</v>
      </c>
      <c r="G218" s="83">
        <v>3585</v>
      </c>
      <c r="H218" s="83">
        <v>3565</v>
      </c>
      <c r="I218" s="83">
        <v>3560</v>
      </c>
      <c r="J218" s="83">
        <v>3480</v>
      </c>
      <c r="K218" s="83">
        <v>3390</v>
      </c>
      <c r="L218" s="83">
        <v>-33238000</v>
      </c>
      <c r="M218" s="103" t="s">
        <v>453</v>
      </c>
      <c r="N218" s="214">
        <v>36945</v>
      </c>
      <c r="O218" s="214">
        <v>36966</v>
      </c>
      <c r="P218" s="216">
        <v>36.5</v>
      </c>
      <c r="Q218" s="216">
        <v>36.5</v>
      </c>
      <c r="R218" s="216">
        <v>36.299999999999997</v>
      </c>
      <c r="S218" s="216">
        <v>36.200000000000003</v>
      </c>
      <c r="T218" s="216">
        <v>36.1</v>
      </c>
      <c r="U218" s="216">
        <v>35.9</v>
      </c>
      <c r="V218" s="216">
        <v>35.799999999999997</v>
      </c>
      <c r="W218" s="216">
        <v>35.700000000000003</v>
      </c>
      <c r="X218" s="216">
        <v>35.6</v>
      </c>
    </row>
    <row r="219" spans="1:24" x14ac:dyDescent="0.2">
      <c r="A219" t="s">
        <v>633</v>
      </c>
      <c r="B219" s="125" t="s">
        <v>377</v>
      </c>
      <c r="C219" s="89">
        <f t="shared" si="6"/>
        <v>1.1261645565300482E-3</v>
      </c>
      <c r="D219" t="s">
        <v>555</v>
      </c>
      <c r="E219" s="89">
        <f t="shared" si="7"/>
        <v>1.7479674796747967E-2</v>
      </c>
      <c r="F219" s="214">
        <v>29303</v>
      </c>
      <c r="G219" s="83">
        <v>2560</v>
      </c>
      <c r="H219" s="83">
        <v>2525</v>
      </c>
      <c r="I219" s="83">
        <v>2460</v>
      </c>
      <c r="J219" s="83">
        <v>2410</v>
      </c>
      <c r="K219" s="83">
        <v>2345</v>
      </c>
      <c r="L219" s="83">
        <v>36509000</v>
      </c>
      <c r="M219" s="103" t="s">
        <v>377</v>
      </c>
      <c r="N219" s="214">
        <v>29206</v>
      </c>
      <c r="O219" s="214">
        <v>29303</v>
      </c>
      <c r="P219" s="216">
        <v>29.2</v>
      </c>
      <c r="Q219" s="216">
        <v>29.3</v>
      </c>
      <c r="R219" s="216">
        <v>29.4</v>
      </c>
      <c r="S219" s="216">
        <v>29.5</v>
      </c>
      <c r="T219" s="216">
        <v>29.6</v>
      </c>
      <c r="U219" s="216">
        <v>29.6</v>
      </c>
      <c r="V219" s="216">
        <v>29.6</v>
      </c>
      <c r="W219" s="216">
        <v>29.6</v>
      </c>
      <c r="X219" s="216">
        <v>29.6</v>
      </c>
    </row>
    <row r="220" spans="1:24" x14ac:dyDescent="0.2">
      <c r="A220" t="s">
        <v>631</v>
      </c>
      <c r="B220" s="125" t="s">
        <v>250</v>
      </c>
      <c r="C220" s="89">
        <f t="shared" si="6"/>
        <v>-3.7694400758880651E-3</v>
      </c>
      <c r="D220" t="s">
        <v>155</v>
      </c>
      <c r="E220" s="89">
        <f t="shared" si="7"/>
        <v>2.1462349945434705E-2</v>
      </c>
      <c r="F220" s="214">
        <v>35608</v>
      </c>
      <c r="G220" s="83">
        <v>2885</v>
      </c>
      <c r="H220" s="83">
        <v>2820</v>
      </c>
      <c r="I220" s="83">
        <v>2785</v>
      </c>
      <c r="J220" s="83">
        <v>2665</v>
      </c>
      <c r="K220" s="83">
        <v>2590</v>
      </c>
      <c r="L220" s="83">
        <v>46142000</v>
      </c>
      <c r="M220" s="103" t="s">
        <v>250</v>
      </c>
      <c r="N220" s="214">
        <v>35311</v>
      </c>
      <c r="O220" s="214">
        <v>35608</v>
      </c>
      <c r="P220" s="216">
        <v>35.200000000000003</v>
      </c>
      <c r="Q220" s="216">
        <v>35.200000000000003</v>
      </c>
      <c r="R220" s="216">
        <v>35.200000000000003</v>
      </c>
      <c r="S220" s="216">
        <v>35.1</v>
      </c>
      <c r="T220" s="216">
        <v>35</v>
      </c>
      <c r="U220" s="216">
        <v>34.9</v>
      </c>
      <c r="V220" s="216">
        <v>34.700000000000003</v>
      </c>
      <c r="W220" s="216">
        <v>34.6</v>
      </c>
      <c r="X220" s="216">
        <v>34.4</v>
      </c>
    </row>
    <row r="221" spans="1:24" x14ac:dyDescent="0.2">
      <c r="A221" t="s">
        <v>636</v>
      </c>
      <c r="B221" s="125" t="s">
        <v>523</v>
      </c>
      <c r="C221" s="89">
        <f t="shared" si="6"/>
        <v>-3.8192692945161056E-3</v>
      </c>
      <c r="D221" t="s">
        <v>555</v>
      </c>
      <c r="E221" s="89">
        <f t="shared" si="7"/>
        <v>2.1788129226145755E-2</v>
      </c>
      <c r="F221" s="214">
        <v>13877</v>
      </c>
      <c r="G221" s="83">
        <v>1390</v>
      </c>
      <c r="H221" s="83">
        <v>1380</v>
      </c>
      <c r="I221" s="83">
        <v>1335</v>
      </c>
      <c r="J221" s="83">
        <v>1305</v>
      </c>
      <c r="K221" s="83">
        <v>1245</v>
      </c>
      <c r="L221" s="83">
        <v>13972000</v>
      </c>
      <c r="M221" s="103" t="s">
        <v>523</v>
      </c>
      <c r="N221" s="214">
        <v>13867</v>
      </c>
      <c r="O221" s="214">
        <v>13877</v>
      </c>
      <c r="P221" s="216">
        <v>13.6</v>
      </c>
      <c r="Q221" s="216">
        <v>13.6</v>
      </c>
      <c r="R221" s="216">
        <v>13.6</v>
      </c>
      <c r="S221" s="216">
        <v>13.6</v>
      </c>
      <c r="T221" s="216">
        <v>13.5</v>
      </c>
      <c r="U221" s="216">
        <v>13.5</v>
      </c>
      <c r="V221" s="216">
        <v>13.5</v>
      </c>
      <c r="W221" s="216">
        <v>13.5</v>
      </c>
      <c r="X221" s="216">
        <v>13.4</v>
      </c>
    </row>
    <row r="222" spans="1:24" x14ac:dyDescent="0.2">
      <c r="A222" t="s">
        <v>638</v>
      </c>
      <c r="B222" s="125" t="s">
        <v>494</v>
      </c>
      <c r="C222" s="89">
        <f t="shared" si="6"/>
        <v>-2.458969520215017E-3</v>
      </c>
      <c r="D222" t="s">
        <v>555</v>
      </c>
      <c r="E222" s="89">
        <f t="shared" si="7"/>
        <v>2.037617554858934E-2</v>
      </c>
      <c r="F222" s="214">
        <v>7772</v>
      </c>
      <c r="G222" s="83">
        <v>670</v>
      </c>
      <c r="H222" s="83">
        <v>660</v>
      </c>
      <c r="I222" s="83">
        <v>650</v>
      </c>
      <c r="J222" s="83">
        <v>605</v>
      </c>
      <c r="K222" s="83">
        <v>605</v>
      </c>
      <c r="L222" s="83">
        <v>-7891000</v>
      </c>
      <c r="M222" s="103" t="s">
        <v>494</v>
      </c>
      <c r="N222" s="214">
        <v>7770</v>
      </c>
      <c r="O222" s="214">
        <v>7772</v>
      </c>
      <c r="P222" s="216">
        <v>7.8</v>
      </c>
      <c r="Q222" s="216">
        <v>7.7</v>
      </c>
      <c r="R222" s="216">
        <v>7.7</v>
      </c>
      <c r="S222" s="216">
        <v>7.6</v>
      </c>
      <c r="T222" s="216">
        <v>7.6</v>
      </c>
      <c r="U222" s="216">
        <v>7.6</v>
      </c>
      <c r="V222" s="216">
        <v>7.6</v>
      </c>
      <c r="W222" s="216">
        <v>7.6</v>
      </c>
      <c r="X222" s="216">
        <v>7.6</v>
      </c>
    </row>
    <row r="223" spans="1:24" x14ac:dyDescent="0.2">
      <c r="A223" t="s">
        <v>631</v>
      </c>
      <c r="B223" s="125" t="s">
        <v>251</v>
      </c>
      <c r="C223" s="89">
        <f t="shared" si="6"/>
        <v>-2.4185276154446989E-3</v>
      </c>
      <c r="D223" t="s">
        <v>555</v>
      </c>
      <c r="E223" s="89">
        <f t="shared" si="7"/>
        <v>2.0814479638009049E-2</v>
      </c>
      <c r="F223" s="214">
        <v>23614</v>
      </c>
      <c r="G223" s="83">
        <v>2320</v>
      </c>
      <c r="H223" s="83">
        <v>2305</v>
      </c>
      <c r="I223" s="83">
        <v>2190</v>
      </c>
      <c r="J223" s="83">
        <v>2145</v>
      </c>
      <c r="K223" s="83">
        <v>2090</v>
      </c>
      <c r="L223" s="83">
        <v>38384000</v>
      </c>
      <c r="M223" s="103" t="s">
        <v>251</v>
      </c>
      <c r="N223" s="214">
        <v>23301</v>
      </c>
      <c r="O223" s="214">
        <v>23614</v>
      </c>
      <c r="P223" s="216">
        <v>23.1</v>
      </c>
      <c r="Q223" s="216">
        <v>23.1</v>
      </c>
      <c r="R223" s="216">
        <v>23.1</v>
      </c>
      <c r="S223" s="216">
        <v>23.1</v>
      </c>
      <c r="T223" s="216">
        <v>23.1</v>
      </c>
      <c r="U223" s="216">
        <v>23.1</v>
      </c>
      <c r="V223" s="216">
        <v>23.1</v>
      </c>
      <c r="W223" s="216">
        <v>23.1</v>
      </c>
      <c r="X223" s="216">
        <v>23.1</v>
      </c>
    </row>
    <row r="224" spans="1:24" x14ac:dyDescent="0.2">
      <c r="A224" t="s">
        <v>638</v>
      </c>
      <c r="B224" s="125" t="s">
        <v>495</v>
      </c>
      <c r="C224" s="89">
        <f t="shared" si="6"/>
        <v>-2.4130487240189651E-4</v>
      </c>
      <c r="D224" t="s">
        <v>555</v>
      </c>
      <c r="E224" s="89">
        <f t="shared" si="7"/>
        <v>1.8507807981492191E-2</v>
      </c>
      <c r="F224" s="214">
        <v>17037</v>
      </c>
      <c r="G224" s="83">
        <v>1790</v>
      </c>
      <c r="H224" s="83">
        <v>1775</v>
      </c>
      <c r="I224" s="83">
        <v>1750</v>
      </c>
      <c r="J224" s="83">
        <v>1700</v>
      </c>
      <c r="K224" s="83">
        <v>1630</v>
      </c>
      <c r="L224" s="83">
        <v>-10534000</v>
      </c>
      <c r="M224" s="103" t="s">
        <v>495</v>
      </c>
      <c r="N224" s="214">
        <v>16857</v>
      </c>
      <c r="O224" s="214">
        <v>17037</v>
      </c>
      <c r="P224" s="216">
        <v>16.899999999999999</v>
      </c>
      <c r="Q224" s="216">
        <v>16.899999999999999</v>
      </c>
      <c r="R224" s="216">
        <v>16.899999999999999</v>
      </c>
      <c r="S224" s="216">
        <v>16.899999999999999</v>
      </c>
      <c r="T224" s="216">
        <v>17</v>
      </c>
      <c r="U224" s="216">
        <v>17</v>
      </c>
      <c r="V224" s="216">
        <v>17</v>
      </c>
      <c r="W224" s="216">
        <v>17</v>
      </c>
      <c r="X224" s="216">
        <v>17</v>
      </c>
    </row>
    <row r="225" spans="1:98" x14ac:dyDescent="0.2">
      <c r="A225" t="s">
        <v>631</v>
      </c>
      <c r="B225" s="125" t="s">
        <v>252</v>
      </c>
      <c r="C225" s="89">
        <f t="shared" si="6"/>
        <v>-2.6969151233323476E-3</v>
      </c>
      <c r="D225" t="s">
        <v>555</v>
      </c>
      <c r="E225" s="89">
        <f t="shared" si="7"/>
        <v>1.457321304649549E-2</v>
      </c>
      <c r="F225" s="214">
        <v>12401</v>
      </c>
      <c r="G225" s="83">
        <v>1495</v>
      </c>
      <c r="H225" s="83">
        <v>1500</v>
      </c>
      <c r="I225" s="83">
        <v>1445</v>
      </c>
      <c r="J225" s="83">
        <v>1375</v>
      </c>
      <c r="K225" s="83">
        <v>1390</v>
      </c>
      <c r="L225" s="83">
        <v>10661000</v>
      </c>
      <c r="M225" s="103" t="s">
        <v>252</v>
      </c>
      <c r="N225" s="214">
        <v>12342</v>
      </c>
      <c r="O225" s="214">
        <v>12401</v>
      </c>
      <c r="P225" s="216">
        <v>12.2</v>
      </c>
      <c r="Q225" s="216">
        <v>12.2</v>
      </c>
      <c r="R225" s="216">
        <v>12.3</v>
      </c>
      <c r="S225" s="216">
        <v>12.2</v>
      </c>
      <c r="T225" s="216">
        <v>12.2</v>
      </c>
      <c r="U225" s="216">
        <v>12.2</v>
      </c>
      <c r="V225" s="216">
        <v>12.2</v>
      </c>
      <c r="W225" s="216">
        <v>12.1</v>
      </c>
      <c r="X225" s="216">
        <v>12.1</v>
      </c>
    </row>
    <row r="226" spans="1:98" x14ac:dyDescent="0.2">
      <c r="A226" t="s">
        <v>636</v>
      </c>
      <c r="B226" s="125" t="s">
        <v>287</v>
      </c>
      <c r="C226" s="89">
        <f t="shared" si="6"/>
        <v>3.6510376633358955E-3</v>
      </c>
      <c r="D226" t="s">
        <v>155</v>
      </c>
      <c r="E226" s="89">
        <f t="shared" si="7"/>
        <v>2.3657289002557546E-2</v>
      </c>
      <c r="F226" s="214">
        <v>62448</v>
      </c>
      <c r="G226" s="83">
        <v>4990</v>
      </c>
      <c r="H226" s="83">
        <v>4890</v>
      </c>
      <c r="I226" s="83">
        <v>4720</v>
      </c>
      <c r="J226" s="83">
        <v>4425</v>
      </c>
      <c r="K226" s="83">
        <v>4435</v>
      </c>
      <c r="L226" s="83">
        <v>136618000</v>
      </c>
      <c r="M226" s="103" t="s">
        <v>287</v>
      </c>
      <c r="N226" s="214">
        <v>61865</v>
      </c>
      <c r="O226" s="214">
        <v>62448</v>
      </c>
      <c r="P226" s="216">
        <v>63.2</v>
      </c>
      <c r="Q226" s="216">
        <v>63.5</v>
      </c>
      <c r="R226" s="216">
        <v>63.7</v>
      </c>
      <c r="S226" s="216">
        <v>63.8</v>
      </c>
      <c r="T226" s="216">
        <v>64</v>
      </c>
      <c r="U226" s="216">
        <v>64.099999999999994</v>
      </c>
      <c r="V226" s="216">
        <v>64.3</v>
      </c>
      <c r="W226" s="216">
        <v>64.400000000000006</v>
      </c>
      <c r="X226" s="216">
        <v>64.5</v>
      </c>
    </row>
    <row r="227" spans="1:98" x14ac:dyDescent="0.2">
      <c r="A227" t="s">
        <v>636</v>
      </c>
      <c r="B227" s="125" t="s">
        <v>378</v>
      </c>
      <c r="C227" s="89">
        <f t="shared" si="6"/>
        <v>9.1586970279438533E-4</v>
      </c>
      <c r="D227" t="s">
        <v>555</v>
      </c>
      <c r="E227" s="89">
        <f t="shared" si="7"/>
        <v>3.0631303698169594E-2</v>
      </c>
      <c r="F227" s="214">
        <v>28267</v>
      </c>
      <c r="G227" s="83">
        <v>2915</v>
      </c>
      <c r="H227" s="83">
        <v>2800</v>
      </c>
      <c r="I227" s="83">
        <v>2640</v>
      </c>
      <c r="J227" s="83">
        <v>2525</v>
      </c>
      <c r="K227" s="83">
        <v>2505</v>
      </c>
      <c r="L227" s="83">
        <v>-17505000</v>
      </c>
      <c r="M227" s="103" t="s">
        <v>378</v>
      </c>
      <c r="N227" s="214">
        <v>27914</v>
      </c>
      <c r="O227" s="214">
        <v>28267</v>
      </c>
      <c r="P227" s="216">
        <v>27.5</v>
      </c>
      <c r="Q227" s="216">
        <v>27.7</v>
      </c>
      <c r="R227" s="216">
        <v>27.9</v>
      </c>
      <c r="S227" s="216">
        <v>28.1</v>
      </c>
      <c r="T227" s="216">
        <v>28.2</v>
      </c>
      <c r="U227" s="216">
        <v>28.3</v>
      </c>
      <c r="V227" s="216">
        <v>28.5</v>
      </c>
      <c r="W227" s="216">
        <v>28.5</v>
      </c>
      <c r="X227" s="216">
        <v>28.5</v>
      </c>
    </row>
    <row r="228" spans="1:98" x14ac:dyDescent="0.2">
      <c r="A228" t="s">
        <v>631</v>
      </c>
      <c r="B228" s="125" t="s">
        <v>253</v>
      </c>
      <c r="C228" s="89">
        <f t="shared" si="6"/>
        <v>4.6468035504729503E-4</v>
      </c>
      <c r="D228" t="s">
        <v>555</v>
      </c>
      <c r="E228" s="89">
        <f t="shared" si="7"/>
        <v>2.2755688922230559E-2</v>
      </c>
      <c r="F228" s="214">
        <v>42323</v>
      </c>
      <c r="G228" s="83">
        <v>4235</v>
      </c>
      <c r="H228" s="83">
        <v>4115</v>
      </c>
      <c r="I228" s="83">
        <v>3995</v>
      </c>
      <c r="J228" s="83">
        <v>3870</v>
      </c>
      <c r="K228" s="83">
        <v>3780</v>
      </c>
      <c r="L228" s="83">
        <v>21705000</v>
      </c>
      <c r="M228" s="103" t="s">
        <v>253</v>
      </c>
      <c r="N228" s="214">
        <v>41763</v>
      </c>
      <c r="O228" s="214">
        <v>42323</v>
      </c>
      <c r="P228" s="216">
        <v>41.3</v>
      </c>
      <c r="Q228" s="216">
        <v>41.4</v>
      </c>
      <c r="R228" s="216">
        <v>41.6</v>
      </c>
      <c r="S228" s="216">
        <v>41.9</v>
      </c>
      <c r="T228" s="216">
        <v>42.1</v>
      </c>
      <c r="U228" s="216">
        <v>42.3</v>
      </c>
      <c r="V228" s="216">
        <v>42.3</v>
      </c>
      <c r="W228" s="216">
        <v>42.5</v>
      </c>
      <c r="X228" s="216">
        <v>42.5</v>
      </c>
    </row>
    <row r="229" spans="1:98" x14ac:dyDescent="0.2">
      <c r="A229" t="s">
        <v>631</v>
      </c>
      <c r="B229" s="125" t="s">
        <v>254</v>
      </c>
      <c r="C229" s="89">
        <f t="shared" si="6"/>
        <v>8.192745517105483E-3</v>
      </c>
      <c r="D229" t="s">
        <v>526</v>
      </c>
      <c r="E229" s="89">
        <f t="shared" si="7"/>
        <v>3.0632326516642425E-2</v>
      </c>
      <c r="F229" s="214">
        <v>175928</v>
      </c>
      <c r="G229" s="83">
        <v>12620</v>
      </c>
      <c r="H229" s="83">
        <v>12180</v>
      </c>
      <c r="I229" s="83">
        <v>11730</v>
      </c>
      <c r="J229" s="83">
        <v>11075</v>
      </c>
      <c r="K229" s="83">
        <v>10830</v>
      </c>
      <c r="L229" s="83">
        <v>449294000</v>
      </c>
      <c r="M229" s="103" t="s">
        <v>254</v>
      </c>
      <c r="N229" s="214">
        <v>173592</v>
      </c>
      <c r="O229" s="214">
        <v>175928</v>
      </c>
      <c r="P229" s="216">
        <v>175.7</v>
      </c>
      <c r="Q229" s="216">
        <v>177.6</v>
      </c>
      <c r="R229" s="216">
        <v>179.1</v>
      </c>
      <c r="S229" s="216">
        <v>180.7</v>
      </c>
      <c r="T229" s="216">
        <v>182.3</v>
      </c>
      <c r="U229" s="216">
        <v>183.9</v>
      </c>
      <c r="V229" s="216">
        <v>185.5</v>
      </c>
      <c r="W229" s="216">
        <v>187.2</v>
      </c>
      <c r="X229" s="216">
        <v>188.9</v>
      </c>
    </row>
    <row r="230" spans="1:98" x14ac:dyDescent="0.2">
      <c r="A230" t="s">
        <v>633</v>
      </c>
      <c r="B230" s="125" t="s">
        <v>568</v>
      </c>
      <c r="C230" s="89">
        <f t="shared" si="6"/>
        <v>-3.7817563927224502E-4</v>
      </c>
      <c r="D230" t="s">
        <v>155</v>
      </c>
      <c r="E230" s="89">
        <f t="shared" si="7"/>
        <v>1.8305084745762711E-2</v>
      </c>
      <c r="F230" s="214">
        <v>85792</v>
      </c>
      <c r="G230" s="83">
        <v>4605</v>
      </c>
      <c r="H230" s="83">
        <v>4555</v>
      </c>
      <c r="I230" s="83">
        <v>4465</v>
      </c>
      <c r="J230" s="83">
        <v>4300</v>
      </c>
      <c r="K230" s="83">
        <v>4200</v>
      </c>
      <c r="L230" s="83">
        <v>286224000</v>
      </c>
      <c r="M230" s="103" t="s">
        <v>568</v>
      </c>
      <c r="N230" s="214">
        <v>85398</v>
      </c>
      <c r="O230" s="214">
        <v>85792</v>
      </c>
      <c r="P230" s="216">
        <v>85.4</v>
      </c>
      <c r="Q230" s="216">
        <v>85.5</v>
      </c>
      <c r="R230" s="216">
        <v>85.6</v>
      </c>
      <c r="S230" s="216">
        <v>85.6</v>
      </c>
      <c r="T230" s="216">
        <v>85.6</v>
      </c>
      <c r="U230" s="216">
        <v>85.6</v>
      </c>
      <c r="V230" s="216">
        <v>85.6</v>
      </c>
      <c r="W230" s="216">
        <v>85.6</v>
      </c>
      <c r="X230" s="216">
        <v>85.5</v>
      </c>
    </row>
    <row r="231" spans="1:98" x14ac:dyDescent="0.2">
      <c r="A231" t="s">
        <v>640</v>
      </c>
      <c r="B231" s="125" t="s">
        <v>408</v>
      </c>
      <c r="C231" s="89">
        <f t="shared" si="6"/>
        <v>5.8799398331737997E-3</v>
      </c>
      <c r="D231" s="281" t="s">
        <v>155</v>
      </c>
      <c r="E231" s="89">
        <f t="shared" si="7"/>
        <v>1.3613861386138614E-2</v>
      </c>
      <c r="F231" s="214">
        <v>7313</v>
      </c>
      <c r="G231" s="83">
        <v>835</v>
      </c>
      <c r="H231" s="83">
        <v>830</v>
      </c>
      <c r="I231" s="83">
        <v>820</v>
      </c>
      <c r="J231" s="83">
        <v>775</v>
      </c>
      <c r="K231" s="83">
        <v>780</v>
      </c>
      <c r="L231" s="83">
        <v>11544000</v>
      </c>
      <c r="M231" s="103" t="s">
        <v>408</v>
      </c>
      <c r="N231" s="214">
        <v>7386</v>
      </c>
      <c r="O231" s="214">
        <v>7313</v>
      </c>
      <c r="P231" s="216">
        <v>7.6</v>
      </c>
      <c r="Q231" s="216">
        <v>7.6</v>
      </c>
      <c r="R231" s="216">
        <v>7.7</v>
      </c>
      <c r="S231" s="216">
        <v>7.7</v>
      </c>
      <c r="T231" s="216">
        <v>7.7</v>
      </c>
      <c r="U231" s="216">
        <v>7.7</v>
      </c>
      <c r="V231" s="216">
        <v>7.7</v>
      </c>
      <c r="W231" s="216">
        <v>7.7</v>
      </c>
      <c r="X231" s="216">
        <v>7.7</v>
      </c>
    </row>
    <row r="232" spans="1:98" x14ac:dyDescent="0.2">
      <c r="A232" t="s">
        <v>628</v>
      </c>
      <c r="B232" s="125" t="s">
        <v>151</v>
      </c>
      <c r="C232" s="89">
        <f t="shared" si="6"/>
        <v>-4.948545401619835E-3</v>
      </c>
      <c r="D232" t="s">
        <v>155</v>
      </c>
      <c r="E232" s="89">
        <f t="shared" si="7"/>
        <v>1.7981201471189211E-2</v>
      </c>
      <c r="F232" s="214">
        <v>32445</v>
      </c>
      <c r="G232" s="83">
        <v>2570</v>
      </c>
      <c r="H232" s="83">
        <v>2540</v>
      </c>
      <c r="I232" s="83">
        <v>2440</v>
      </c>
      <c r="J232" s="83">
        <v>2335</v>
      </c>
      <c r="K232" s="83">
        <v>2350</v>
      </c>
      <c r="L232" s="83">
        <v>65844000</v>
      </c>
      <c r="M232" s="103" t="s">
        <v>151</v>
      </c>
      <c r="N232" s="214">
        <v>33042</v>
      </c>
      <c r="O232" s="214">
        <v>32445</v>
      </c>
      <c r="P232" s="216">
        <v>31.6</v>
      </c>
      <c r="Q232" s="216">
        <v>31.5</v>
      </c>
      <c r="R232" s="216">
        <v>31.3</v>
      </c>
      <c r="S232" s="216">
        <v>31.3</v>
      </c>
      <c r="T232" s="216">
        <v>31.2</v>
      </c>
      <c r="U232" s="216">
        <v>31.1</v>
      </c>
      <c r="V232" s="216">
        <v>31</v>
      </c>
      <c r="W232" s="216">
        <v>31</v>
      </c>
      <c r="X232" s="216">
        <v>31</v>
      </c>
    </row>
    <row r="233" spans="1:98" x14ac:dyDescent="0.2">
      <c r="A233" t="s">
        <v>635</v>
      </c>
      <c r="B233" s="125" t="s">
        <v>514</v>
      </c>
      <c r="C233" s="89">
        <f t="shared" si="6"/>
        <v>2.3551398304680719E-3</v>
      </c>
      <c r="D233" t="s">
        <v>155</v>
      </c>
      <c r="E233" s="89">
        <f t="shared" si="7"/>
        <v>1.4550264550264549E-2</v>
      </c>
      <c r="F233" s="214">
        <v>46612</v>
      </c>
      <c r="G233" s="83">
        <v>4705</v>
      </c>
      <c r="H233" s="83">
        <v>4640</v>
      </c>
      <c r="I233" s="83">
        <v>4530</v>
      </c>
      <c r="J233" s="83">
        <v>4430</v>
      </c>
      <c r="K233" s="83">
        <v>4375</v>
      </c>
      <c r="L233" s="83">
        <v>634000</v>
      </c>
      <c r="M233" s="103" t="s">
        <v>514</v>
      </c>
      <c r="N233" s="214">
        <v>46557</v>
      </c>
      <c r="O233" s="214">
        <v>46612</v>
      </c>
      <c r="P233" s="216">
        <v>47.5</v>
      </c>
      <c r="Q233" s="216">
        <v>47.7</v>
      </c>
      <c r="R233" s="216">
        <v>47.8</v>
      </c>
      <c r="S233" s="216">
        <v>47.8</v>
      </c>
      <c r="T233" s="216">
        <v>47.8</v>
      </c>
      <c r="U233" s="216">
        <v>47.8</v>
      </c>
      <c r="V233" s="216">
        <v>47.8</v>
      </c>
      <c r="W233" s="216">
        <v>47.7</v>
      </c>
      <c r="X233" s="216">
        <v>47.6</v>
      </c>
    </row>
    <row r="234" spans="1:98" x14ac:dyDescent="0.2">
      <c r="A234" t="s">
        <v>633</v>
      </c>
      <c r="B234" s="125" t="s">
        <v>379</v>
      </c>
      <c r="C234" s="89">
        <f t="shared" si="6"/>
        <v>1.1237296228088126E-2</v>
      </c>
      <c r="D234" t="s">
        <v>155</v>
      </c>
      <c r="E234" s="89">
        <f t="shared" si="7"/>
        <v>3.3166216737369844E-2</v>
      </c>
      <c r="F234" s="214">
        <v>26064</v>
      </c>
      <c r="G234" s="83">
        <v>2820</v>
      </c>
      <c r="H234" s="83">
        <v>2720</v>
      </c>
      <c r="I234" s="83">
        <v>2560</v>
      </c>
      <c r="J234" s="83">
        <v>2475</v>
      </c>
      <c r="K234" s="83">
        <v>2390</v>
      </c>
      <c r="L234" s="83">
        <v>6645000</v>
      </c>
      <c r="M234" s="103" t="s">
        <v>379</v>
      </c>
      <c r="N234" s="214">
        <v>25865</v>
      </c>
      <c r="O234" s="214">
        <v>26064</v>
      </c>
      <c r="P234" s="216">
        <v>26.3</v>
      </c>
      <c r="Q234" s="216">
        <v>26.5</v>
      </c>
      <c r="R234" s="216">
        <v>26.9</v>
      </c>
      <c r="S234" s="216">
        <v>27.3</v>
      </c>
      <c r="T234" s="216">
        <v>27.7</v>
      </c>
      <c r="U234" s="216">
        <v>28.1</v>
      </c>
      <c r="V234" s="216">
        <v>28.3</v>
      </c>
      <c r="W234" s="216">
        <v>28.5</v>
      </c>
      <c r="X234" s="216">
        <v>28.7</v>
      </c>
    </row>
    <row r="235" spans="1:98" x14ac:dyDescent="0.2">
      <c r="A235" t="s">
        <v>633</v>
      </c>
      <c r="B235" s="125" t="s">
        <v>380</v>
      </c>
      <c r="C235" s="89">
        <f t="shared" si="6"/>
        <v>4.5808673554686196E-3</v>
      </c>
      <c r="D235" t="s">
        <v>555</v>
      </c>
      <c r="E235" s="89">
        <f t="shared" si="7"/>
        <v>2.5573770491803278E-2</v>
      </c>
      <c r="F235" s="214">
        <v>16615</v>
      </c>
      <c r="G235" s="83">
        <v>1635</v>
      </c>
      <c r="H235" s="83">
        <v>1585</v>
      </c>
      <c r="I235" s="83">
        <v>1510</v>
      </c>
      <c r="J235" s="83">
        <v>1455</v>
      </c>
      <c r="K235" s="83">
        <v>1440</v>
      </c>
      <c r="L235" s="83">
        <v>-2230000</v>
      </c>
      <c r="M235" s="103" t="s">
        <v>380</v>
      </c>
      <c r="N235" s="214">
        <v>16326</v>
      </c>
      <c r="O235" s="214">
        <v>16615</v>
      </c>
      <c r="P235" s="216">
        <v>16.399999999999999</v>
      </c>
      <c r="Q235" s="216">
        <v>16.600000000000001</v>
      </c>
      <c r="R235" s="216">
        <v>16.7</v>
      </c>
      <c r="S235" s="216">
        <v>16.8</v>
      </c>
      <c r="T235" s="216">
        <v>16.899999999999999</v>
      </c>
      <c r="U235" s="216">
        <v>17</v>
      </c>
      <c r="V235" s="216">
        <v>17.100000000000001</v>
      </c>
      <c r="W235" s="216">
        <v>17.3</v>
      </c>
      <c r="X235" s="216">
        <v>17.3</v>
      </c>
    </row>
    <row r="236" spans="1:98" x14ac:dyDescent="0.2">
      <c r="A236" t="s">
        <v>629</v>
      </c>
      <c r="B236" s="125" t="s">
        <v>518</v>
      </c>
      <c r="C236" s="89">
        <f t="shared" si="6"/>
        <v>8.2956259426847662E-3</v>
      </c>
      <c r="D236" t="s">
        <v>555</v>
      </c>
      <c r="E236" s="89">
        <f t="shared" si="7"/>
        <v>1.7264879600181735E-2</v>
      </c>
      <c r="F236" s="214">
        <v>22984</v>
      </c>
      <c r="G236" s="83">
        <v>2285</v>
      </c>
      <c r="H236" s="83">
        <v>2265</v>
      </c>
      <c r="I236" s="83">
        <v>2230</v>
      </c>
      <c r="J236" s="83">
        <v>2130</v>
      </c>
      <c r="K236" s="83">
        <v>2095</v>
      </c>
      <c r="L236" s="83">
        <v>63947000</v>
      </c>
      <c r="M236" s="103" t="s">
        <v>518</v>
      </c>
      <c r="N236" s="214">
        <v>22869</v>
      </c>
      <c r="O236" s="214">
        <v>22984</v>
      </c>
      <c r="P236" s="216">
        <v>23.3</v>
      </c>
      <c r="Q236" s="216">
        <v>23.5</v>
      </c>
      <c r="R236" s="216">
        <v>23.8</v>
      </c>
      <c r="S236" s="216">
        <v>24</v>
      </c>
      <c r="T236" s="216">
        <v>24.1</v>
      </c>
      <c r="U236" s="216">
        <v>24.3</v>
      </c>
      <c r="V236" s="216">
        <v>24.4</v>
      </c>
      <c r="W236" s="216">
        <v>24.5</v>
      </c>
      <c r="X236" s="216">
        <v>24.7</v>
      </c>
    </row>
    <row r="237" spans="1:98" x14ac:dyDescent="0.2">
      <c r="A237" t="s">
        <v>631</v>
      </c>
      <c r="B237" s="125" t="s">
        <v>255</v>
      </c>
      <c r="C237" s="89">
        <f t="shared" si="6"/>
        <v>-5.4158575654040591E-3</v>
      </c>
      <c r="D237" t="s">
        <v>155</v>
      </c>
      <c r="E237" s="89">
        <f t="shared" si="7"/>
        <v>2.6724137931034484E-2</v>
      </c>
      <c r="F237" s="214">
        <v>27122</v>
      </c>
      <c r="G237" s="83">
        <v>2475</v>
      </c>
      <c r="H237" s="83">
        <v>2405</v>
      </c>
      <c r="I237" s="83">
        <v>2315</v>
      </c>
      <c r="J237" s="83">
        <v>2240</v>
      </c>
      <c r="K237" s="83">
        <v>2165</v>
      </c>
      <c r="L237" s="83">
        <v>15185000</v>
      </c>
      <c r="M237" s="103" t="s">
        <v>255</v>
      </c>
      <c r="N237" s="214">
        <v>26890</v>
      </c>
      <c r="O237" s="214">
        <v>27122</v>
      </c>
      <c r="P237" s="216">
        <v>26.3</v>
      </c>
      <c r="Q237" s="216">
        <v>26.2</v>
      </c>
      <c r="R237" s="216">
        <v>26.2</v>
      </c>
      <c r="S237" s="216">
        <v>26.2</v>
      </c>
      <c r="T237" s="216">
        <v>26.1</v>
      </c>
      <c r="U237" s="216">
        <v>26.1</v>
      </c>
      <c r="V237" s="216">
        <v>26</v>
      </c>
      <c r="W237" s="216">
        <v>25.9</v>
      </c>
      <c r="X237" s="216">
        <v>25.8</v>
      </c>
    </row>
    <row r="238" spans="1:98" s="91" customFormat="1" x14ac:dyDescent="0.2">
      <c r="A238" s="91" t="s">
        <v>638</v>
      </c>
      <c r="B238" s="125" t="s">
        <v>496</v>
      </c>
      <c r="C238" s="89">
        <f t="shared" si="6"/>
        <v>3.7078479124158059E-3</v>
      </c>
      <c r="D238" t="s">
        <v>155</v>
      </c>
      <c r="E238" s="89">
        <f t="shared" si="7"/>
        <v>1.834862385321101E-2</v>
      </c>
      <c r="F238" s="214">
        <v>15193</v>
      </c>
      <c r="G238" s="83">
        <v>1255</v>
      </c>
      <c r="H238" s="83">
        <v>1215</v>
      </c>
      <c r="I238" s="83">
        <v>1210</v>
      </c>
      <c r="J238" s="83">
        <v>1170</v>
      </c>
      <c r="K238" s="83">
        <v>1145</v>
      </c>
      <c r="L238" s="83">
        <v>-9597000</v>
      </c>
      <c r="M238" s="103" t="s">
        <v>496</v>
      </c>
      <c r="N238" s="214">
        <v>15315</v>
      </c>
      <c r="O238" s="214">
        <v>15193</v>
      </c>
      <c r="P238" s="216">
        <v>15.8</v>
      </c>
      <c r="Q238" s="216">
        <v>15.9</v>
      </c>
      <c r="R238" s="216">
        <v>15.9</v>
      </c>
      <c r="S238" s="216">
        <v>15.8</v>
      </c>
      <c r="T238" s="216">
        <v>15.7</v>
      </c>
      <c r="U238" s="216">
        <v>15.7</v>
      </c>
      <c r="V238" s="216">
        <v>15.7</v>
      </c>
      <c r="W238" s="216">
        <v>15.7</v>
      </c>
      <c r="X238" s="216">
        <v>15.7</v>
      </c>
      <c r="Y238"/>
      <c r="Z238"/>
      <c r="AA238"/>
      <c r="AB238"/>
      <c r="AC238"/>
      <c r="AD238"/>
      <c r="AE238"/>
      <c r="AF238"/>
      <c r="AG238"/>
      <c r="AH238"/>
      <c r="AI238"/>
      <c r="AJ238"/>
      <c r="AK238"/>
      <c r="AL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row>
    <row r="239" spans="1:98" x14ac:dyDescent="0.2">
      <c r="A239" t="s">
        <v>633</v>
      </c>
      <c r="B239" s="125" t="s">
        <v>381</v>
      </c>
      <c r="C239" s="89">
        <f t="shared" si="6"/>
        <v>8.8883307519499917E-3</v>
      </c>
      <c r="D239" t="s">
        <v>555</v>
      </c>
      <c r="E239" s="89">
        <f t="shared" si="7"/>
        <v>2.0444978953698137E-2</v>
      </c>
      <c r="F239" s="214">
        <v>23889</v>
      </c>
      <c r="G239" s="83">
        <v>1735</v>
      </c>
      <c r="H239" s="83">
        <v>1730</v>
      </c>
      <c r="I239" s="83">
        <v>1665</v>
      </c>
      <c r="J239" s="83">
        <v>1620</v>
      </c>
      <c r="K239" s="83">
        <v>1565</v>
      </c>
      <c r="L239" s="83">
        <v>93600000</v>
      </c>
      <c r="M239" s="103" t="s">
        <v>381</v>
      </c>
      <c r="N239" s="214">
        <v>23601</v>
      </c>
      <c r="O239" s="214">
        <v>23889</v>
      </c>
      <c r="P239" s="216">
        <v>24.2</v>
      </c>
      <c r="Q239" s="216">
        <v>24.6</v>
      </c>
      <c r="R239" s="216">
        <v>24.8</v>
      </c>
      <c r="S239" s="216">
        <v>25</v>
      </c>
      <c r="T239" s="216">
        <v>25.2</v>
      </c>
      <c r="U239" s="216">
        <v>25.3</v>
      </c>
      <c r="V239" s="216">
        <v>25.5</v>
      </c>
      <c r="W239" s="216">
        <v>25.6</v>
      </c>
      <c r="X239" s="216">
        <v>25.8</v>
      </c>
    </row>
    <row r="240" spans="1:98" x14ac:dyDescent="0.2">
      <c r="A240" t="s">
        <v>629</v>
      </c>
      <c r="B240" s="125" t="s">
        <v>454</v>
      </c>
      <c r="C240" s="89">
        <f t="shared" si="6"/>
        <v>-3.6516231764332623E-4</v>
      </c>
      <c r="D240" t="s">
        <v>555</v>
      </c>
      <c r="E240" s="89">
        <f t="shared" si="7"/>
        <v>2.4312896405919663E-2</v>
      </c>
      <c r="F240" s="214">
        <v>18561</v>
      </c>
      <c r="G240" s="83">
        <v>2025</v>
      </c>
      <c r="H240" s="83">
        <v>1950</v>
      </c>
      <c r="I240" s="83">
        <v>1875</v>
      </c>
      <c r="J240" s="83">
        <v>1815</v>
      </c>
      <c r="K240" s="83">
        <v>1795</v>
      </c>
      <c r="L240" s="83">
        <v>14339000</v>
      </c>
      <c r="M240" s="103" t="s">
        <v>454</v>
      </c>
      <c r="N240" s="214">
        <v>18491</v>
      </c>
      <c r="O240" s="214">
        <v>18561</v>
      </c>
      <c r="P240" s="216">
        <v>18.3</v>
      </c>
      <c r="Q240" s="216">
        <v>18.399999999999999</v>
      </c>
      <c r="R240" s="216">
        <v>18.399999999999999</v>
      </c>
      <c r="S240" s="216">
        <v>18.399999999999999</v>
      </c>
      <c r="T240" s="216">
        <v>18.399999999999999</v>
      </c>
      <c r="U240" s="216">
        <v>18.399999999999999</v>
      </c>
      <c r="V240" s="216">
        <v>18.5</v>
      </c>
      <c r="W240" s="216">
        <v>18.5</v>
      </c>
      <c r="X240" s="216">
        <v>18.5</v>
      </c>
    </row>
    <row r="241" spans="1:24" x14ac:dyDescent="0.2">
      <c r="A241" t="s">
        <v>629</v>
      </c>
      <c r="B241" s="125" t="s">
        <v>455</v>
      </c>
      <c r="C241" s="89">
        <f t="shared" si="6"/>
        <v>-2.8156811782542777E-3</v>
      </c>
      <c r="D241" t="s">
        <v>555</v>
      </c>
      <c r="E241" s="89">
        <f t="shared" si="7"/>
        <v>1.875442321302194E-2</v>
      </c>
      <c r="F241" s="214">
        <v>26163</v>
      </c>
      <c r="G241" s="83">
        <v>2975</v>
      </c>
      <c r="H241" s="83">
        <v>2885</v>
      </c>
      <c r="I241" s="83">
        <v>2820</v>
      </c>
      <c r="J241" s="83">
        <v>2740</v>
      </c>
      <c r="K241" s="83">
        <v>2710</v>
      </c>
      <c r="L241" s="83">
        <v>49941000</v>
      </c>
      <c r="M241" s="103" t="s">
        <v>455</v>
      </c>
      <c r="N241" s="214">
        <v>25945</v>
      </c>
      <c r="O241" s="214">
        <v>26163</v>
      </c>
      <c r="P241" s="216">
        <v>26.1</v>
      </c>
      <c r="Q241" s="216">
        <v>26</v>
      </c>
      <c r="R241" s="216">
        <v>26</v>
      </c>
      <c r="S241" s="216">
        <v>25.9</v>
      </c>
      <c r="T241" s="216">
        <v>25.8</v>
      </c>
      <c r="U241" s="216">
        <v>25.8</v>
      </c>
      <c r="V241" s="216">
        <v>25.6</v>
      </c>
      <c r="W241" s="216">
        <v>25.6</v>
      </c>
      <c r="X241" s="216">
        <v>25.5</v>
      </c>
    </row>
    <row r="242" spans="1:24" x14ac:dyDescent="0.2">
      <c r="A242" t="s">
        <v>637</v>
      </c>
      <c r="B242" s="125" t="s">
        <v>170</v>
      </c>
      <c r="C242" s="89">
        <f t="shared" si="6"/>
        <v>6.7115464862136073E-5</v>
      </c>
      <c r="D242" t="s">
        <v>526</v>
      </c>
      <c r="E242" s="89">
        <f t="shared" si="7"/>
        <v>9.2816787732041967E-3</v>
      </c>
      <c r="F242" s="214">
        <v>38077</v>
      </c>
      <c r="G242" s="83">
        <v>2555</v>
      </c>
      <c r="H242" s="83">
        <v>2530</v>
      </c>
      <c r="I242" s="83">
        <v>2460</v>
      </c>
      <c r="J242" s="83">
        <v>2405</v>
      </c>
      <c r="K242" s="83">
        <v>2440</v>
      </c>
      <c r="L242" s="83">
        <v>46981000</v>
      </c>
      <c r="M242" s="103" t="s">
        <v>170</v>
      </c>
      <c r="N242" s="214">
        <v>38107</v>
      </c>
      <c r="O242" s="214">
        <v>38077</v>
      </c>
      <c r="P242" s="216">
        <v>38</v>
      </c>
      <c r="Q242" s="216">
        <v>38</v>
      </c>
      <c r="R242" s="216">
        <v>38</v>
      </c>
      <c r="S242" s="216">
        <v>38</v>
      </c>
      <c r="T242" s="216">
        <v>38</v>
      </c>
      <c r="U242" s="216">
        <v>38</v>
      </c>
      <c r="V242" s="216">
        <v>38</v>
      </c>
      <c r="W242" s="216">
        <v>38</v>
      </c>
      <c r="X242" s="216">
        <v>38.1</v>
      </c>
    </row>
    <row r="243" spans="1:24" x14ac:dyDescent="0.2">
      <c r="A243" t="s">
        <v>631</v>
      </c>
      <c r="B243" s="125" t="s">
        <v>256</v>
      </c>
      <c r="C243" s="89">
        <f t="shared" si="6"/>
        <v>2.8223347374094084E-3</v>
      </c>
      <c r="D243" t="s">
        <v>555</v>
      </c>
      <c r="E243" s="89">
        <f t="shared" si="7"/>
        <v>3.0418250950570342E-2</v>
      </c>
      <c r="F243" s="214">
        <v>23503</v>
      </c>
      <c r="G243" s="83">
        <v>1965</v>
      </c>
      <c r="H243" s="83">
        <v>1930</v>
      </c>
      <c r="I243" s="83">
        <v>1880</v>
      </c>
      <c r="J243" s="83">
        <v>1745</v>
      </c>
      <c r="K243" s="83">
        <v>1685</v>
      </c>
      <c r="L243" s="83">
        <v>-23632000</v>
      </c>
      <c r="M243" s="103" t="s">
        <v>256</v>
      </c>
      <c r="N243" s="214">
        <v>23263</v>
      </c>
      <c r="O243" s="214">
        <v>23503</v>
      </c>
      <c r="P243" s="216">
        <v>23.5</v>
      </c>
      <c r="Q243" s="216">
        <v>23.6</v>
      </c>
      <c r="R243" s="216">
        <v>23.6</v>
      </c>
      <c r="S243" s="216">
        <v>23.6</v>
      </c>
      <c r="T243" s="216">
        <v>23.7</v>
      </c>
      <c r="U243" s="216">
        <v>23.8</v>
      </c>
      <c r="V243" s="216">
        <v>23.9</v>
      </c>
      <c r="W243" s="216">
        <v>24</v>
      </c>
      <c r="X243" s="216">
        <v>24.1</v>
      </c>
    </row>
    <row r="244" spans="1:24" x14ac:dyDescent="0.2">
      <c r="A244" t="s">
        <v>634</v>
      </c>
      <c r="B244" s="125" t="s">
        <v>211</v>
      </c>
      <c r="C244" s="89">
        <f t="shared" si="6"/>
        <v>4.4411031755975999E-3</v>
      </c>
      <c r="D244" t="s">
        <v>155</v>
      </c>
      <c r="E244" s="89">
        <f t="shared" si="7"/>
        <v>1.1579818031430935E-2</v>
      </c>
      <c r="F244" s="214">
        <v>31924</v>
      </c>
      <c r="G244" s="83">
        <v>2470</v>
      </c>
      <c r="H244" s="83">
        <v>2480</v>
      </c>
      <c r="I244" s="83">
        <v>2450</v>
      </c>
      <c r="J244" s="83">
        <v>2360</v>
      </c>
      <c r="K244" s="83">
        <v>2330</v>
      </c>
      <c r="L244" s="83">
        <v>33857000</v>
      </c>
      <c r="M244" s="103" t="s">
        <v>211</v>
      </c>
      <c r="N244" s="214">
        <v>32011</v>
      </c>
      <c r="O244" s="214">
        <v>31924</v>
      </c>
      <c r="P244" s="216">
        <v>32.6</v>
      </c>
      <c r="Q244" s="216">
        <v>32.700000000000003</v>
      </c>
      <c r="R244" s="216">
        <v>32.799999999999997</v>
      </c>
      <c r="S244" s="216">
        <v>32.9</v>
      </c>
      <c r="T244" s="216">
        <v>33.1</v>
      </c>
      <c r="U244" s="216">
        <v>33.200000000000003</v>
      </c>
      <c r="V244" s="216">
        <v>33.200000000000003</v>
      </c>
      <c r="W244" s="216">
        <v>33.200000000000003</v>
      </c>
      <c r="X244" s="216">
        <v>33.200000000000003</v>
      </c>
    </row>
    <row r="245" spans="1:24" x14ac:dyDescent="0.2">
      <c r="A245" t="s">
        <v>634</v>
      </c>
      <c r="B245" s="125" t="s">
        <v>212</v>
      </c>
      <c r="C245" s="89">
        <f t="shared" si="6"/>
        <v>2.3241906946062747E-3</v>
      </c>
      <c r="D245" t="s">
        <v>555</v>
      </c>
      <c r="E245" s="89">
        <f t="shared" si="7"/>
        <v>2.7066569129480616E-2</v>
      </c>
      <c r="F245" s="214">
        <v>18023</v>
      </c>
      <c r="G245" s="83">
        <v>1465</v>
      </c>
      <c r="H245" s="83">
        <v>1415</v>
      </c>
      <c r="I245" s="83">
        <v>1365</v>
      </c>
      <c r="J245" s="83">
        <v>1310</v>
      </c>
      <c r="K245" s="83">
        <v>1280</v>
      </c>
      <c r="L245" s="83">
        <v>33177000</v>
      </c>
      <c r="M245" s="103" t="s">
        <v>212</v>
      </c>
      <c r="N245" s="214">
        <v>17959</v>
      </c>
      <c r="O245" s="214">
        <v>18023</v>
      </c>
      <c r="P245" s="216">
        <v>18.100000000000001</v>
      </c>
      <c r="Q245" s="216">
        <v>18.2</v>
      </c>
      <c r="R245" s="216">
        <v>18.3</v>
      </c>
      <c r="S245" s="216">
        <v>18.3</v>
      </c>
      <c r="T245" s="216">
        <v>18.3</v>
      </c>
      <c r="U245" s="216">
        <v>18.3</v>
      </c>
      <c r="V245" s="216">
        <v>18.399999999999999</v>
      </c>
      <c r="W245" s="216">
        <v>18.399999999999999</v>
      </c>
      <c r="X245" s="216">
        <v>18.399999999999999</v>
      </c>
    </row>
    <row r="246" spans="1:24" x14ac:dyDescent="0.2">
      <c r="A246" t="s">
        <v>634</v>
      </c>
      <c r="B246" s="125" t="s">
        <v>213</v>
      </c>
      <c r="C246" s="89">
        <f t="shared" si="6"/>
        <v>1.3222253778913819E-2</v>
      </c>
      <c r="D246" t="s">
        <v>555</v>
      </c>
      <c r="E246" s="89">
        <f t="shared" si="7"/>
        <v>1.9484600879949718E-2</v>
      </c>
      <c r="F246" s="214">
        <v>17605</v>
      </c>
      <c r="G246" s="83">
        <v>1675</v>
      </c>
      <c r="H246" s="83">
        <v>1635</v>
      </c>
      <c r="I246" s="83">
        <v>1600</v>
      </c>
      <c r="J246" s="83">
        <v>1525</v>
      </c>
      <c r="K246" s="83">
        <v>1520</v>
      </c>
      <c r="L246" s="83">
        <v>16507000</v>
      </c>
      <c r="M246" s="103" t="s">
        <v>213</v>
      </c>
      <c r="N246" s="214">
        <v>17530</v>
      </c>
      <c r="O246" s="214">
        <v>17605</v>
      </c>
      <c r="P246" s="216">
        <v>18.600000000000001</v>
      </c>
      <c r="Q246" s="216">
        <v>18.8</v>
      </c>
      <c r="R246" s="216">
        <v>19</v>
      </c>
      <c r="S246" s="216">
        <v>19.100000000000001</v>
      </c>
      <c r="T246" s="216">
        <v>19.3</v>
      </c>
      <c r="U246" s="216">
        <v>19.3</v>
      </c>
      <c r="V246" s="216">
        <v>19.5</v>
      </c>
      <c r="W246" s="216">
        <v>19.600000000000001</v>
      </c>
      <c r="X246" s="216">
        <v>19.7</v>
      </c>
    </row>
    <row r="247" spans="1:24" x14ac:dyDescent="0.2">
      <c r="A247" t="s">
        <v>638</v>
      </c>
      <c r="B247" s="125" t="s">
        <v>497</v>
      </c>
      <c r="C247" s="89">
        <f t="shared" si="6"/>
        <v>-5.0215715397128506E-3</v>
      </c>
      <c r="D247" t="s">
        <v>155</v>
      </c>
      <c r="E247" s="89">
        <f t="shared" si="7"/>
        <v>1.9067796610169493E-2</v>
      </c>
      <c r="F247" s="214">
        <v>7855</v>
      </c>
      <c r="G247" s="83">
        <v>495</v>
      </c>
      <c r="H247" s="83">
        <v>495</v>
      </c>
      <c r="I247" s="83">
        <v>470</v>
      </c>
      <c r="J247" s="83">
        <v>450</v>
      </c>
      <c r="K247" s="83">
        <v>450</v>
      </c>
      <c r="L247" s="83">
        <v>-30527000</v>
      </c>
      <c r="M247" s="103" t="s">
        <v>497</v>
      </c>
      <c r="N247" s="214">
        <v>7860</v>
      </c>
      <c r="O247" s="214">
        <v>7855</v>
      </c>
      <c r="P247" s="216">
        <v>7.8</v>
      </c>
      <c r="Q247" s="216">
        <v>7.8</v>
      </c>
      <c r="R247" s="216">
        <v>7.8</v>
      </c>
      <c r="S247" s="216">
        <v>7.8</v>
      </c>
      <c r="T247" s="216">
        <v>7.6</v>
      </c>
      <c r="U247" s="216">
        <v>7.6</v>
      </c>
      <c r="V247" s="216">
        <v>7.6</v>
      </c>
      <c r="W247" s="216">
        <v>7.6</v>
      </c>
      <c r="X247" s="216">
        <v>7.5</v>
      </c>
    </row>
    <row r="248" spans="1:24" x14ac:dyDescent="0.2">
      <c r="A248" t="s">
        <v>631</v>
      </c>
      <c r="B248" s="125" t="s">
        <v>257</v>
      </c>
      <c r="C248" s="89">
        <f t="shared" si="6"/>
        <v>-5.8901283246647713E-3</v>
      </c>
      <c r="D248" t="s">
        <v>155</v>
      </c>
      <c r="E248" s="89">
        <f t="shared" si="7"/>
        <v>1.7522412387938061E-2</v>
      </c>
      <c r="F248" s="214">
        <v>29673</v>
      </c>
      <c r="G248" s="83">
        <v>2575</v>
      </c>
      <c r="H248" s="83">
        <v>2520</v>
      </c>
      <c r="I248" s="83">
        <v>2445</v>
      </c>
      <c r="J248" s="83">
        <v>2370</v>
      </c>
      <c r="K248" s="83">
        <v>2360</v>
      </c>
      <c r="L248" s="83">
        <v>26330000</v>
      </c>
      <c r="M248" s="103" t="s">
        <v>257</v>
      </c>
      <c r="N248" s="214">
        <v>29632</v>
      </c>
      <c r="O248" s="214">
        <v>29673</v>
      </c>
      <c r="P248" s="216">
        <v>29.3</v>
      </c>
      <c r="Q248" s="216">
        <v>29.1</v>
      </c>
      <c r="R248" s="216">
        <v>29</v>
      </c>
      <c r="S248" s="216">
        <v>28.8</v>
      </c>
      <c r="T248" s="216">
        <v>28.7</v>
      </c>
      <c r="U248" s="216">
        <v>28.5</v>
      </c>
      <c r="V248" s="216">
        <v>28.4</v>
      </c>
      <c r="W248" s="216">
        <v>28.2</v>
      </c>
      <c r="X248" s="216">
        <v>28.1</v>
      </c>
    </row>
    <row r="249" spans="1:24" x14ac:dyDescent="0.2">
      <c r="A249" t="s">
        <v>629</v>
      </c>
      <c r="B249" s="125" t="s">
        <v>456</v>
      </c>
      <c r="C249" s="89">
        <f t="shared" si="6"/>
        <v>8.6803982107504002E-4</v>
      </c>
      <c r="D249" t="s">
        <v>155</v>
      </c>
      <c r="E249" s="89">
        <f t="shared" si="7"/>
        <v>2.0746887966804978E-2</v>
      </c>
      <c r="F249" s="214">
        <v>55169</v>
      </c>
      <c r="G249" s="83">
        <v>4775</v>
      </c>
      <c r="H249" s="83">
        <v>4720</v>
      </c>
      <c r="I249" s="83">
        <v>4620</v>
      </c>
      <c r="J249" s="83">
        <v>4480</v>
      </c>
      <c r="K249" s="83">
        <v>4300</v>
      </c>
      <c r="L249" s="83">
        <v>42627000</v>
      </c>
      <c r="M249" s="103" t="s">
        <v>456</v>
      </c>
      <c r="N249" s="214">
        <v>54604</v>
      </c>
      <c r="O249" s="214">
        <v>55169</v>
      </c>
      <c r="P249" s="216">
        <v>54.3</v>
      </c>
      <c r="Q249" s="216">
        <v>54.4</v>
      </c>
      <c r="R249" s="216">
        <v>54.7</v>
      </c>
      <c r="S249" s="216">
        <v>54.9</v>
      </c>
      <c r="T249" s="216">
        <v>55</v>
      </c>
      <c r="U249" s="216">
        <v>55.2</v>
      </c>
      <c r="V249" s="216">
        <v>55.3</v>
      </c>
      <c r="W249" s="216">
        <v>55.4</v>
      </c>
      <c r="X249" s="216">
        <v>55.6</v>
      </c>
    </row>
    <row r="250" spans="1:24" x14ac:dyDescent="0.2">
      <c r="A250" t="s">
        <v>632</v>
      </c>
      <c r="B250" s="125" t="s">
        <v>191</v>
      </c>
      <c r="C250" s="89">
        <f t="shared" si="6"/>
        <v>-5.9269734028159667E-3</v>
      </c>
      <c r="D250" t="s">
        <v>155</v>
      </c>
      <c r="E250" s="89">
        <f t="shared" si="7"/>
        <v>1.304978250362494E-2</v>
      </c>
      <c r="F250" s="214">
        <v>25458</v>
      </c>
      <c r="G250" s="83">
        <v>2155</v>
      </c>
      <c r="H250" s="83">
        <v>2120</v>
      </c>
      <c r="I250" s="83">
        <v>2035</v>
      </c>
      <c r="J250" s="83">
        <v>2015</v>
      </c>
      <c r="K250" s="83">
        <v>2020</v>
      </c>
      <c r="L250" s="83">
        <v>26945000</v>
      </c>
      <c r="M250" s="103" t="s">
        <v>191</v>
      </c>
      <c r="N250" s="214">
        <v>25543</v>
      </c>
      <c r="O250" s="214">
        <v>25458</v>
      </c>
      <c r="P250" s="216">
        <v>24.8</v>
      </c>
      <c r="Q250" s="216">
        <v>24.6</v>
      </c>
      <c r="R250" s="216">
        <v>24.5</v>
      </c>
      <c r="S250" s="216">
        <v>24.4</v>
      </c>
      <c r="T250" s="216">
        <v>24.3</v>
      </c>
      <c r="U250" s="216">
        <v>24.2</v>
      </c>
      <c r="V250" s="216">
        <v>24.1</v>
      </c>
      <c r="W250" s="216">
        <v>24.1</v>
      </c>
      <c r="X250" s="216">
        <v>24.1</v>
      </c>
    </row>
    <row r="251" spans="1:24" x14ac:dyDescent="0.2">
      <c r="A251" t="s">
        <v>630</v>
      </c>
      <c r="B251" s="125" t="s">
        <v>330</v>
      </c>
      <c r="C251" s="89">
        <f t="shared" si="6"/>
        <v>1.1014095759858473E-2</v>
      </c>
      <c r="D251" t="s">
        <v>555</v>
      </c>
      <c r="E251" s="89">
        <f t="shared" si="7"/>
        <v>3.2378580323785801E-2</v>
      </c>
      <c r="F251" s="214">
        <v>9735</v>
      </c>
      <c r="G251" s="83">
        <v>875</v>
      </c>
      <c r="H251" s="83">
        <v>850</v>
      </c>
      <c r="I251" s="83">
        <v>800</v>
      </c>
      <c r="J251" s="83">
        <v>745</v>
      </c>
      <c r="K251" s="83">
        <v>745</v>
      </c>
      <c r="L251" s="83">
        <v>31871000</v>
      </c>
      <c r="M251" s="103" t="s">
        <v>330</v>
      </c>
      <c r="N251" s="214">
        <v>9653</v>
      </c>
      <c r="O251" s="214">
        <v>9735</v>
      </c>
      <c r="P251" s="216">
        <v>9.9</v>
      </c>
      <c r="Q251" s="216">
        <v>10.1</v>
      </c>
      <c r="R251" s="216">
        <v>10.3</v>
      </c>
      <c r="S251" s="216">
        <v>10.4</v>
      </c>
      <c r="T251" s="216">
        <v>10.5</v>
      </c>
      <c r="U251" s="216">
        <v>10.4</v>
      </c>
      <c r="V251" s="216">
        <v>10.4</v>
      </c>
      <c r="W251" s="216">
        <v>10.6</v>
      </c>
      <c r="X251" s="216">
        <v>10.7</v>
      </c>
    </row>
    <row r="252" spans="1:24" x14ac:dyDescent="0.2">
      <c r="A252" t="s">
        <v>630</v>
      </c>
      <c r="B252" s="125" t="s">
        <v>331</v>
      </c>
      <c r="C252" s="89">
        <f t="shared" si="6"/>
        <v>3.5954233056688161E-3</v>
      </c>
      <c r="D252" t="s">
        <v>555</v>
      </c>
      <c r="E252" s="89">
        <f t="shared" si="7"/>
        <v>1.432408236347359E-2</v>
      </c>
      <c r="F252" s="214">
        <v>11527</v>
      </c>
      <c r="G252" s="83">
        <v>1160</v>
      </c>
      <c r="H252" s="83">
        <v>1150</v>
      </c>
      <c r="I252" s="83">
        <v>1105</v>
      </c>
      <c r="J252" s="83">
        <v>1090</v>
      </c>
      <c r="K252" s="83">
        <v>1080</v>
      </c>
      <c r="L252" s="83">
        <v>308000</v>
      </c>
      <c r="M252" s="103" t="s">
        <v>331</v>
      </c>
      <c r="N252" s="214">
        <v>11421</v>
      </c>
      <c r="O252" s="214">
        <v>11527</v>
      </c>
      <c r="P252" s="216">
        <v>11.4</v>
      </c>
      <c r="Q252" s="216">
        <v>11.5</v>
      </c>
      <c r="R252" s="216">
        <v>11.6</v>
      </c>
      <c r="S252" s="216">
        <v>11.6</v>
      </c>
      <c r="T252" s="216">
        <v>11.7</v>
      </c>
      <c r="U252" s="216">
        <v>11.8</v>
      </c>
      <c r="V252" s="216">
        <v>11.8</v>
      </c>
      <c r="W252" s="216">
        <v>11.9</v>
      </c>
      <c r="X252" s="216">
        <v>11.9</v>
      </c>
    </row>
    <row r="253" spans="1:24" x14ac:dyDescent="0.2">
      <c r="A253" t="s">
        <v>632</v>
      </c>
      <c r="B253" s="125" t="s">
        <v>192</v>
      </c>
      <c r="C253" s="89">
        <f t="shared" si="6"/>
        <v>-2.3146592597570356E-4</v>
      </c>
      <c r="D253" t="s">
        <v>155</v>
      </c>
      <c r="E253" s="89">
        <f t="shared" si="7"/>
        <v>2.3875845602865101E-2</v>
      </c>
      <c r="F253" s="214">
        <v>29762</v>
      </c>
      <c r="G253" s="83">
        <v>2660</v>
      </c>
      <c r="H253" s="83">
        <v>2600</v>
      </c>
      <c r="I253" s="83">
        <v>2510</v>
      </c>
      <c r="J253" s="83">
        <v>2435</v>
      </c>
      <c r="K253" s="83">
        <v>2360</v>
      </c>
      <c r="L253" s="83">
        <v>24162000</v>
      </c>
      <c r="M253" s="103" t="s">
        <v>192</v>
      </c>
      <c r="N253" s="214">
        <v>29720</v>
      </c>
      <c r="O253" s="214">
        <v>29762</v>
      </c>
      <c r="P253" s="216">
        <v>29.9</v>
      </c>
      <c r="Q253" s="216">
        <v>29.9</v>
      </c>
      <c r="R253" s="216">
        <v>29.9</v>
      </c>
      <c r="S253" s="216">
        <v>29.9</v>
      </c>
      <c r="T253" s="216">
        <v>29.8</v>
      </c>
      <c r="U253" s="216">
        <v>29.8</v>
      </c>
      <c r="V253" s="216">
        <v>29.8</v>
      </c>
      <c r="W253" s="216">
        <v>29.8</v>
      </c>
      <c r="X253" s="216">
        <v>29.7</v>
      </c>
    </row>
    <row r="254" spans="1:24" x14ac:dyDescent="0.2">
      <c r="A254" t="s">
        <v>629</v>
      </c>
      <c r="B254" s="125" t="s">
        <v>457</v>
      </c>
      <c r="C254" s="89">
        <f t="shared" si="6"/>
        <v>2.2314313037934334E-3</v>
      </c>
      <c r="D254" t="s">
        <v>526</v>
      </c>
      <c r="E254" s="89">
        <f t="shared" si="7"/>
        <v>2.0697047990764664E-2</v>
      </c>
      <c r="F254" s="214">
        <v>90973</v>
      </c>
      <c r="G254" s="83">
        <v>7765</v>
      </c>
      <c r="H254" s="83">
        <v>7590</v>
      </c>
      <c r="I254" s="93">
        <v>7370</v>
      </c>
      <c r="J254" s="93">
        <v>6645</v>
      </c>
      <c r="K254" s="93">
        <v>7012</v>
      </c>
      <c r="L254" s="93">
        <v>106879000</v>
      </c>
      <c r="M254" s="103" t="s">
        <v>457</v>
      </c>
      <c r="N254" s="214">
        <v>90364</v>
      </c>
      <c r="O254" s="214">
        <v>90973</v>
      </c>
      <c r="P254" s="216">
        <v>90.8</v>
      </c>
      <c r="Q254" s="216">
        <v>91.2</v>
      </c>
      <c r="R254" s="216">
        <v>91.7</v>
      </c>
      <c r="S254" s="216">
        <v>92</v>
      </c>
      <c r="T254" s="216">
        <v>92.3</v>
      </c>
      <c r="U254" s="216">
        <v>92.5</v>
      </c>
      <c r="V254" s="216">
        <v>92.7</v>
      </c>
      <c r="W254" s="216">
        <v>92.8</v>
      </c>
      <c r="X254" s="216">
        <v>92.8</v>
      </c>
    </row>
    <row r="255" spans="1:24" x14ac:dyDescent="0.2">
      <c r="A255" t="s">
        <v>633</v>
      </c>
      <c r="B255" s="125" t="s">
        <v>382</v>
      </c>
      <c r="C255" s="89">
        <f t="shared" si="6"/>
        <v>-4.559319166060739E-3</v>
      </c>
      <c r="D255" t="s">
        <v>555</v>
      </c>
      <c r="E255" s="89">
        <f t="shared" si="7"/>
        <v>1.4388489208633094E-2</v>
      </c>
      <c r="F255" s="214">
        <v>24297</v>
      </c>
      <c r="G255" s="83">
        <v>2000</v>
      </c>
      <c r="H255" s="83">
        <v>1990</v>
      </c>
      <c r="I255" s="83">
        <v>1965</v>
      </c>
      <c r="J255" s="83">
        <v>1915</v>
      </c>
      <c r="K255" s="83">
        <v>1860</v>
      </c>
      <c r="L255" s="83">
        <v>19816000</v>
      </c>
      <c r="M255" s="103" t="s">
        <v>382</v>
      </c>
      <c r="N255" s="214">
        <v>24021</v>
      </c>
      <c r="O255" s="214">
        <v>24297</v>
      </c>
      <c r="P255" s="216">
        <v>23.5</v>
      </c>
      <c r="Q255" s="216">
        <v>23.5</v>
      </c>
      <c r="R255" s="216">
        <v>23.6</v>
      </c>
      <c r="S255" s="216">
        <v>23.6</v>
      </c>
      <c r="T255" s="216">
        <v>23.6</v>
      </c>
      <c r="U255" s="216">
        <v>23.6</v>
      </c>
      <c r="V255" s="216">
        <v>23.5</v>
      </c>
      <c r="W255" s="216">
        <v>23.4</v>
      </c>
      <c r="X255" s="216">
        <v>23.3</v>
      </c>
    </row>
    <row r="256" spans="1:24" x14ac:dyDescent="0.2">
      <c r="A256" t="s">
        <v>631</v>
      </c>
      <c r="B256" s="125" t="s">
        <v>258</v>
      </c>
      <c r="C256" s="89">
        <f t="shared" si="6"/>
        <v>-4.5789167446684716E-3</v>
      </c>
      <c r="D256" t="s">
        <v>155</v>
      </c>
      <c r="E256" s="89">
        <f t="shared" si="7"/>
        <v>2.0195439739413682E-2</v>
      </c>
      <c r="F256" s="214">
        <v>39529</v>
      </c>
      <c r="G256" s="83">
        <v>3235</v>
      </c>
      <c r="H256" s="83">
        <v>3155</v>
      </c>
      <c r="I256" s="83">
        <v>3075</v>
      </c>
      <c r="J256" s="83">
        <v>2960</v>
      </c>
      <c r="K256" s="83">
        <v>2925</v>
      </c>
      <c r="L256" s="83">
        <v>96989000</v>
      </c>
      <c r="M256" s="103" t="s">
        <v>258</v>
      </c>
      <c r="N256" s="214">
        <v>39569</v>
      </c>
      <c r="O256" s="214">
        <v>39529</v>
      </c>
      <c r="P256" s="216">
        <v>39.1</v>
      </c>
      <c r="Q256" s="216">
        <v>39.1</v>
      </c>
      <c r="R256" s="216">
        <v>39.1</v>
      </c>
      <c r="S256" s="216">
        <v>38.9</v>
      </c>
      <c r="T256" s="216">
        <v>38.799999999999997</v>
      </c>
      <c r="U256" s="216">
        <v>38.5</v>
      </c>
      <c r="V256" s="216">
        <v>38.299999999999997</v>
      </c>
      <c r="W256" s="216">
        <v>38.1</v>
      </c>
      <c r="X256" s="216">
        <v>37.9</v>
      </c>
    </row>
    <row r="257" spans="1:24" x14ac:dyDescent="0.2">
      <c r="A257" t="s">
        <v>630</v>
      </c>
      <c r="B257" s="125" t="s">
        <v>332</v>
      </c>
      <c r="C257" s="89">
        <f t="shared" si="6"/>
        <v>2.2330952792810603E-2</v>
      </c>
      <c r="D257" t="s">
        <v>555</v>
      </c>
      <c r="E257" s="89">
        <f t="shared" si="7"/>
        <v>2.4641833810888251E-2</v>
      </c>
      <c r="F257" s="214">
        <v>13489</v>
      </c>
      <c r="G257" s="83">
        <v>1865</v>
      </c>
      <c r="H257" s="83">
        <v>1795</v>
      </c>
      <c r="I257" s="83">
        <v>1755</v>
      </c>
      <c r="J257" s="83">
        <v>1660</v>
      </c>
      <c r="K257" s="83">
        <v>1650</v>
      </c>
      <c r="L257" s="83">
        <v>-17109000</v>
      </c>
      <c r="M257" s="103" t="s">
        <v>332</v>
      </c>
      <c r="N257" s="214">
        <v>13428</v>
      </c>
      <c r="O257" s="214">
        <v>13489</v>
      </c>
      <c r="P257" s="216">
        <v>14.1</v>
      </c>
      <c r="Q257" s="216">
        <v>14.4</v>
      </c>
      <c r="R257" s="216">
        <v>14.6</v>
      </c>
      <c r="S257" s="216">
        <v>14.7</v>
      </c>
      <c r="T257" s="216">
        <v>15</v>
      </c>
      <c r="U257" s="216">
        <v>15.2</v>
      </c>
      <c r="V257" s="216">
        <v>15.6</v>
      </c>
      <c r="W257" s="216">
        <v>15.9</v>
      </c>
      <c r="X257" s="216">
        <v>16.2</v>
      </c>
    </row>
    <row r="258" spans="1:24" x14ac:dyDescent="0.2">
      <c r="A258" t="s">
        <v>636</v>
      </c>
      <c r="B258" s="125" t="s">
        <v>288</v>
      </c>
      <c r="C258" s="89">
        <f t="shared" si="6"/>
        <v>-8.4067559748015675E-4</v>
      </c>
      <c r="D258" t="s">
        <v>555</v>
      </c>
      <c r="E258" s="89">
        <f t="shared" si="7"/>
        <v>2.4411508282476024E-2</v>
      </c>
      <c r="F258" s="214">
        <v>10177</v>
      </c>
      <c r="G258" s="83">
        <v>1215</v>
      </c>
      <c r="H258" s="83">
        <v>1185</v>
      </c>
      <c r="I258" s="83">
        <v>1155</v>
      </c>
      <c r="J258" s="83">
        <v>1105</v>
      </c>
      <c r="K258" s="83">
        <v>1075</v>
      </c>
      <c r="L258" s="83">
        <v>515000</v>
      </c>
      <c r="M258" s="103" t="s">
        <v>288</v>
      </c>
      <c r="N258" s="214">
        <v>10185</v>
      </c>
      <c r="O258" s="214">
        <v>10177</v>
      </c>
      <c r="P258" s="216">
        <v>10.1</v>
      </c>
      <c r="Q258" s="216">
        <v>10.1</v>
      </c>
      <c r="R258" s="216">
        <v>10.1</v>
      </c>
      <c r="S258" s="216">
        <v>10.1</v>
      </c>
      <c r="T258" s="216">
        <v>10.1</v>
      </c>
      <c r="U258" s="216">
        <v>10.1</v>
      </c>
      <c r="V258" s="216">
        <v>10.1</v>
      </c>
      <c r="W258" s="216">
        <v>10.1</v>
      </c>
      <c r="X258" s="216">
        <v>10.1</v>
      </c>
    </row>
    <row r="259" spans="1:24" x14ac:dyDescent="0.2">
      <c r="A259" t="s">
        <v>631</v>
      </c>
      <c r="B259" s="125" t="s">
        <v>259</v>
      </c>
      <c r="C259" s="89">
        <f t="shared" ref="C259:C322" si="8">(SUM(X259*1000,-O259)/9)/O259</f>
        <v>-2.1757592346942359E-4</v>
      </c>
      <c r="D259" t="s">
        <v>555</v>
      </c>
      <c r="E259" s="89">
        <f t="shared" ref="E259:E322" si="9">SUM(G259,-K259)/SUM(G259,H259,I259,J259,K259)</f>
        <v>2.7546120798584785E-2</v>
      </c>
      <c r="F259" s="214">
        <v>47493</v>
      </c>
      <c r="G259" s="83">
        <v>4230</v>
      </c>
      <c r="H259" s="83">
        <v>4130</v>
      </c>
      <c r="I259" s="83">
        <v>3940</v>
      </c>
      <c r="J259" s="83">
        <v>3800</v>
      </c>
      <c r="K259" s="83">
        <v>3685</v>
      </c>
      <c r="L259" s="83">
        <v>53648000</v>
      </c>
      <c r="M259" s="103" t="s">
        <v>259</v>
      </c>
      <c r="N259" s="214">
        <v>47388</v>
      </c>
      <c r="O259" s="214">
        <v>47493</v>
      </c>
      <c r="P259" s="216">
        <v>47.2</v>
      </c>
      <c r="Q259" s="216">
        <v>47.2</v>
      </c>
      <c r="R259" s="216">
        <v>47.2</v>
      </c>
      <c r="S259" s="216">
        <v>47.3</v>
      </c>
      <c r="T259" s="216">
        <v>47.3</v>
      </c>
      <c r="U259" s="216">
        <v>47.3</v>
      </c>
      <c r="V259" s="216">
        <v>47.4</v>
      </c>
      <c r="W259" s="216">
        <v>47.4</v>
      </c>
      <c r="X259" s="216">
        <v>47.4</v>
      </c>
    </row>
    <row r="260" spans="1:24" x14ac:dyDescent="0.2">
      <c r="A260" t="s">
        <v>633</v>
      </c>
      <c r="B260" s="125" t="s">
        <v>383</v>
      </c>
      <c r="C260" s="89">
        <f t="shared" si="8"/>
        <v>-2.2727742308724133E-4</v>
      </c>
      <c r="D260" t="s">
        <v>555</v>
      </c>
      <c r="E260" s="89">
        <f t="shared" si="9"/>
        <v>2.1658986175115209E-2</v>
      </c>
      <c r="F260" s="214">
        <v>32266</v>
      </c>
      <c r="G260" s="83">
        <v>2275</v>
      </c>
      <c r="H260" s="83">
        <v>2230</v>
      </c>
      <c r="I260" s="83">
        <v>2175</v>
      </c>
      <c r="J260" s="83">
        <v>2130</v>
      </c>
      <c r="K260" s="83">
        <v>2040</v>
      </c>
      <c r="L260" s="83">
        <v>55732000</v>
      </c>
      <c r="M260" s="103" t="s">
        <v>383</v>
      </c>
      <c r="N260" s="214">
        <v>32286</v>
      </c>
      <c r="O260" s="214">
        <v>32266</v>
      </c>
      <c r="P260" s="216">
        <v>32.4</v>
      </c>
      <c r="Q260" s="216">
        <v>32.4</v>
      </c>
      <c r="R260" s="216">
        <v>32.299999999999997</v>
      </c>
      <c r="S260" s="216">
        <v>32.299999999999997</v>
      </c>
      <c r="T260" s="216">
        <v>32.299999999999997</v>
      </c>
      <c r="U260" s="216">
        <v>32.299999999999997</v>
      </c>
      <c r="V260" s="216">
        <v>32.299999999999997</v>
      </c>
      <c r="W260" s="216">
        <v>32.200000000000003</v>
      </c>
      <c r="X260" s="216">
        <v>32.200000000000003</v>
      </c>
    </row>
    <row r="261" spans="1:24" x14ac:dyDescent="0.2">
      <c r="A261" t="s">
        <v>638</v>
      </c>
      <c r="B261" s="125" t="s">
        <v>498</v>
      </c>
      <c r="C261" s="89">
        <f t="shared" si="8"/>
        <v>-4.6558159221208968E-3</v>
      </c>
      <c r="D261" t="s">
        <v>555</v>
      </c>
      <c r="E261" s="89">
        <f t="shared" si="9"/>
        <v>1.4641288433382138E-2</v>
      </c>
      <c r="F261" s="214">
        <v>43315</v>
      </c>
      <c r="G261" s="83">
        <v>3540</v>
      </c>
      <c r="H261" s="83">
        <v>3485</v>
      </c>
      <c r="I261" s="83">
        <v>3430</v>
      </c>
      <c r="J261" s="83">
        <v>3330</v>
      </c>
      <c r="K261" s="83">
        <v>3290</v>
      </c>
      <c r="L261" s="83">
        <v>32210000</v>
      </c>
      <c r="M261" s="103" t="s">
        <v>498</v>
      </c>
      <c r="N261" s="214">
        <v>43354</v>
      </c>
      <c r="O261" s="214">
        <v>43315</v>
      </c>
      <c r="P261" s="216">
        <v>43</v>
      </c>
      <c r="Q261" s="216">
        <v>42.8</v>
      </c>
      <c r="R261" s="216">
        <v>42.7</v>
      </c>
      <c r="S261" s="216">
        <v>42.5</v>
      </c>
      <c r="T261" s="216">
        <v>42.3</v>
      </c>
      <c r="U261" s="216">
        <v>42.2</v>
      </c>
      <c r="V261" s="216">
        <v>42</v>
      </c>
      <c r="W261" s="216">
        <v>41.8</v>
      </c>
      <c r="X261" s="216">
        <v>41.5</v>
      </c>
    </row>
    <row r="262" spans="1:24" x14ac:dyDescent="0.2">
      <c r="A262" t="s">
        <v>637</v>
      </c>
      <c r="B262" s="125" t="s">
        <v>171</v>
      </c>
      <c r="C262" s="89">
        <f t="shared" si="8"/>
        <v>-5.0146449395612868E-3</v>
      </c>
      <c r="D262" t="s">
        <v>526</v>
      </c>
      <c r="E262" s="89">
        <f t="shared" si="9"/>
        <v>9.3896713615023476E-3</v>
      </c>
      <c r="F262" s="214">
        <v>12253</v>
      </c>
      <c r="G262" s="83">
        <v>650</v>
      </c>
      <c r="H262" s="83">
        <v>655</v>
      </c>
      <c r="I262" s="83">
        <v>650</v>
      </c>
      <c r="J262" s="83">
        <v>620</v>
      </c>
      <c r="K262" s="83">
        <v>620</v>
      </c>
      <c r="L262" s="83">
        <v>12195000</v>
      </c>
      <c r="M262" s="103" t="s">
        <v>171</v>
      </c>
      <c r="N262" s="214">
        <v>12548</v>
      </c>
      <c r="O262" s="214">
        <v>12253</v>
      </c>
      <c r="P262" s="216">
        <v>12.9</v>
      </c>
      <c r="Q262" s="216">
        <v>12.6</v>
      </c>
      <c r="R262" s="216">
        <v>12.3</v>
      </c>
      <c r="S262" s="216">
        <v>12.1</v>
      </c>
      <c r="T262" s="216">
        <v>12</v>
      </c>
      <c r="U262" s="216">
        <v>11.9</v>
      </c>
      <c r="V262" s="216">
        <v>11.8</v>
      </c>
      <c r="W262" s="216">
        <v>11.8</v>
      </c>
      <c r="X262" s="216">
        <v>11.7</v>
      </c>
    </row>
    <row r="263" spans="1:24" x14ac:dyDescent="0.2">
      <c r="A263" t="s">
        <v>633</v>
      </c>
      <c r="B263" s="125" t="s">
        <v>384</v>
      </c>
      <c r="C263" s="89">
        <f t="shared" si="8"/>
        <v>9.643824721000175E-3</v>
      </c>
      <c r="D263" t="s">
        <v>555</v>
      </c>
      <c r="E263" s="89">
        <f t="shared" si="9"/>
        <v>2.686417273412001E-2</v>
      </c>
      <c r="F263" s="214">
        <v>53644</v>
      </c>
      <c r="G263" s="83">
        <v>4255</v>
      </c>
      <c r="H263" s="83">
        <v>4135</v>
      </c>
      <c r="I263" s="83">
        <v>4005</v>
      </c>
      <c r="J263" s="83">
        <v>3800</v>
      </c>
      <c r="K263" s="83">
        <v>3720</v>
      </c>
      <c r="L263" s="83">
        <v>149520000</v>
      </c>
      <c r="M263" s="103" t="s">
        <v>384</v>
      </c>
      <c r="N263" s="214">
        <v>52670</v>
      </c>
      <c r="O263" s="214">
        <v>53644</v>
      </c>
      <c r="P263" s="216">
        <v>53.9</v>
      </c>
      <c r="Q263" s="216">
        <v>54.6</v>
      </c>
      <c r="R263" s="216">
        <v>55.3</v>
      </c>
      <c r="S263" s="216">
        <v>55.9</v>
      </c>
      <c r="T263" s="216">
        <v>56.5</v>
      </c>
      <c r="U263" s="216">
        <v>57</v>
      </c>
      <c r="V263" s="216">
        <v>57.5</v>
      </c>
      <c r="W263" s="216">
        <v>57.9</v>
      </c>
      <c r="X263" s="216">
        <v>58.3</v>
      </c>
    </row>
    <row r="264" spans="1:24" x14ac:dyDescent="0.2">
      <c r="A264" t="s">
        <v>630</v>
      </c>
      <c r="B264" s="125" t="s">
        <v>333</v>
      </c>
      <c r="C264" s="89">
        <f t="shared" si="8"/>
        <v>-9.157470981655877E-4</v>
      </c>
      <c r="D264" t="s">
        <v>155</v>
      </c>
      <c r="E264" s="89">
        <f t="shared" si="9"/>
        <v>2.3241954707985697E-2</v>
      </c>
      <c r="F264" s="214">
        <v>79959</v>
      </c>
      <c r="G264" s="83">
        <v>5345</v>
      </c>
      <c r="H264" s="83">
        <v>5235</v>
      </c>
      <c r="I264" s="83">
        <v>4990</v>
      </c>
      <c r="J264" s="83">
        <v>4840</v>
      </c>
      <c r="K264" s="83">
        <v>4760</v>
      </c>
      <c r="L264" s="83">
        <v>221348000</v>
      </c>
      <c r="M264" s="103" t="s">
        <v>333</v>
      </c>
      <c r="N264" s="214">
        <v>79895</v>
      </c>
      <c r="O264" s="214">
        <v>79959</v>
      </c>
      <c r="P264" s="216">
        <v>80.599999999999994</v>
      </c>
      <c r="Q264" s="216">
        <v>80.7</v>
      </c>
      <c r="R264" s="216">
        <v>80.599999999999994</v>
      </c>
      <c r="S264" s="216">
        <v>80.3</v>
      </c>
      <c r="T264" s="216">
        <v>80</v>
      </c>
      <c r="U264" s="216">
        <v>79.599999999999994</v>
      </c>
      <c r="V264" s="216">
        <v>79.3</v>
      </c>
      <c r="W264" s="216">
        <v>79.3</v>
      </c>
      <c r="X264" s="216">
        <v>79.3</v>
      </c>
    </row>
    <row r="265" spans="1:24" x14ac:dyDescent="0.2">
      <c r="A265" t="s">
        <v>631</v>
      </c>
      <c r="B265" s="125" t="s">
        <v>260</v>
      </c>
      <c r="C265" s="89">
        <f t="shared" si="8"/>
        <v>4.0110005573372074E-3</v>
      </c>
      <c r="D265" t="s">
        <v>555</v>
      </c>
      <c r="E265" s="89">
        <f t="shared" si="9"/>
        <v>1.3344116457743631E-2</v>
      </c>
      <c r="F265" s="214">
        <v>24322</v>
      </c>
      <c r="G265" s="83">
        <v>2545</v>
      </c>
      <c r="H265" s="83">
        <v>2550</v>
      </c>
      <c r="I265" s="83">
        <v>2485</v>
      </c>
      <c r="J265" s="83">
        <v>2405</v>
      </c>
      <c r="K265" s="83">
        <v>2380</v>
      </c>
      <c r="L265" s="83">
        <v>-34980000</v>
      </c>
      <c r="M265" s="103" t="s">
        <v>260</v>
      </c>
      <c r="N265" s="214">
        <v>24418</v>
      </c>
      <c r="O265" s="214">
        <v>24322</v>
      </c>
      <c r="P265" s="216">
        <v>24.7</v>
      </c>
      <c r="Q265" s="216">
        <v>24.8</v>
      </c>
      <c r="R265" s="216">
        <v>24.8</v>
      </c>
      <c r="S265" s="216">
        <v>24.9</v>
      </c>
      <c r="T265" s="216">
        <v>25</v>
      </c>
      <c r="U265" s="216">
        <v>25.1</v>
      </c>
      <c r="V265" s="216">
        <v>25.1</v>
      </c>
      <c r="W265" s="216">
        <v>25.1</v>
      </c>
      <c r="X265" s="216">
        <v>25.2</v>
      </c>
    </row>
    <row r="266" spans="1:24" x14ac:dyDescent="0.2">
      <c r="A266" t="s">
        <v>634</v>
      </c>
      <c r="B266" s="125" t="s">
        <v>214</v>
      </c>
      <c r="C266" s="89">
        <f t="shared" si="8"/>
        <v>-1.076426264800861E-3</v>
      </c>
      <c r="D266" t="s">
        <v>555</v>
      </c>
      <c r="E266" s="89">
        <f t="shared" si="9"/>
        <v>2.3457235654998194E-2</v>
      </c>
      <c r="F266" s="214">
        <v>37160</v>
      </c>
      <c r="G266" s="83">
        <v>2940</v>
      </c>
      <c r="H266" s="83">
        <v>2855</v>
      </c>
      <c r="I266" s="83">
        <v>2770</v>
      </c>
      <c r="J266" s="83">
        <v>2675</v>
      </c>
      <c r="K266" s="83">
        <v>2615</v>
      </c>
      <c r="L266" s="83">
        <v>26340000</v>
      </c>
      <c r="M266" s="103" t="s">
        <v>214</v>
      </c>
      <c r="N266" s="214">
        <v>36905</v>
      </c>
      <c r="O266" s="214">
        <v>37160</v>
      </c>
      <c r="P266" s="216">
        <v>37</v>
      </c>
      <c r="Q266" s="216">
        <v>37</v>
      </c>
      <c r="R266" s="216">
        <v>37</v>
      </c>
      <c r="S266" s="216">
        <v>37</v>
      </c>
      <c r="T266" s="216">
        <v>37</v>
      </c>
      <c r="U266" s="216">
        <v>36.9</v>
      </c>
      <c r="V266" s="216">
        <v>36.9</v>
      </c>
      <c r="W266" s="216">
        <v>36.799999999999997</v>
      </c>
      <c r="X266" s="216">
        <v>36.799999999999997</v>
      </c>
    </row>
    <row r="267" spans="1:24" x14ac:dyDescent="0.2">
      <c r="A267" t="s">
        <v>640</v>
      </c>
      <c r="B267" s="125" t="s">
        <v>409</v>
      </c>
      <c r="C267" s="89">
        <f t="shared" si="8"/>
        <v>1.1571509466479554E-3</v>
      </c>
      <c r="D267" t="s">
        <v>555</v>
      </c>
      <c r="E267" s="89">
        <f t="shared" si="9"/>
        <v>1.6958424507658644E-2</v>
      </c>
      <c r="F267" s="214">
        <v>22565</v>
      </c>
      <c r="G267" s="83">
        <v>1915</v>
      </c>
      <c r="H267" s="83">
        <v>1880</v>
      </c>
      <c r="I267" s="83">
        <v>1815</v>
      </c>
      <c r="J267" s="83">
        <v>1770</v>
      </c>
      <c r="K267" s="83">
        <v>1760</v>
      </c>
      <c r="L267" s="83">
        <v>31504000</v>
      </c>
      <c r="M267" s="103" t="s">
        <v>409</v>
      </c>
      <c r="N267" s="214">
        <v>22362</v>
      </c>
      <c r="O267" s="214">
        <v>22565</v>
      </c>
      <c r="P267" s="216">
        <v>22.4</v>
      </c>
      <c r="Q267" s="216">
        <v>22.5</v>
      </c>
      <c r="R267" s="216">
        <v>22.6</v>
      </c>
      <c r="S267" s="216">
        <v>22.7</v>
      </c>
      <c r="T267" s="216">
        <v>22.7</v>
      </c>
      <c r="U267" s="216">
        <v>22.8</v>
      </c>
      <c r="V267" s="216">
        <v>22.8</v>
      </c>
      <c r="W267" s="216">
        <v>22.8</v>
      </c>
      <c r="X267" s="216">
        <v>22.8</v>
      </c>
    </row>
    <row r="268" spans="1:24" x14ac:dyDescent="0.2">
      <c r="A268" t="s">
        <v>631</v>
      </c>
      <c r="B268" s="125" t="s">
        <v>261</v>
      </c>
      <c r="C268" s="89">
        <f t="shared" si="8"/>
        <v>-2.2099486710156187E-3</v>
      </c>
      <c r="D268" t="s">
        <v>155</v>
      </c>
      <c r="E268" s="89">
        <f t="shared" si="9"/>
        <v>2.3542600896860985E-2</v>
      </c>
      <c r="F268" s="214">
        <v>31323</v>
      </c>
      <c r="G268" s="83">
        <v>2855</v>
      </c>
      <c r="H268" s="83">
        <v>2755</v>
      </c>
      <c r="I268" s="83">
        <v>2670</v>
      </c>
      <c r="J268" s="83">
        <v>2560</v>
      </c>
      <c r="K268" s="83">
        <v>2540</v>
      </c>
      <c r="L268" s="83">
        <v>11906000</v>
      </c>
      <c r="M268" s="103" t="s">
        <v>261</v>
      </c>
      <c r="N268" s="214">
        <v>31405</v>
      </c>
      <c r="O268" s="214">
        <v>31323</v>
      </c>
      <c r="P268" s="216">
        <v>31.2</v>
      </c>
      <c r="Q268" s="216">
        <v>30.8</v>
      </c>
      <c r="R268" s="216">
        <v>30.4</v>
      </c>
      <c r="S268" s="216">
        <v>30.4</v>
      </c>
      <c r="T268" s="216">
        <v>30.4</v>
      </c>
      <c r="U268" s="216">
        <v>30.4</v>
      </c>
      <c r="V268" s="216">
        <v>30.5</v>
      </c>
      <c r="W268" s="216">
        <v>30.6</v>
      </c>
      <c r="X268" s="216">
        <v>30.7</v>
      </c>
    </row>
    <row r="269" spans="1:24" x14ac:dyDescent="0.2">
      <c r="A269" t="s">
        <v>636</v>
      </c>
      <c r="B269" s="125" t="s">
        <v>289</v>
      </c>
      <c r="C269" s="89">
        <f t="shared" si="8"/>
        <v>1.1130412404297754E-2</v>
      </c>
      <c r="D269" t="s">
        <v>555</v>
      </c>
      <c r="E269" s="89">
        <f t="shared" si="9"/>
        <v>2.0504731861198739E-2</v>
      </c>
      <c r="F269" s="214">
        <v>5181</v>
      </c>
      <c r="G269" s="83">
        <v>665</v>
      </c>
      <c r="H269" s="83">
        <v>660</v>
      </c>
      <c r="I269" s="83">
        <v>630</v>
      </c>
      <c r="J269" s="83">
        <v>615</v>
      </c>
      <c r="K269" s="83">
        <v>600</v>
      </c>
      <c r="L269" s="83">
        <v>6655000</v>
      </c>
      <c r="M269" s="103" t="s">
        <v>289</v>
      </c>
      <c r="N269" s="214">
        <v>5101</v>
      </c>
      <c r="O269" s="214">
        <v>5181</v>
      </c>
      <c r="P269" s="216">
        <v>5.3</v>
      </c>
      <c r="Q269" s="216">
        <v>5.4</v>
      </c>
      <c r="R269" s="216">
        <v>5.5</v>
      </c>
      <c r="S269" s="216">
        <v>5.5</v>
      </c>
      <c r="T269" s="216">
        <v>5.6</v>
      </c>
      <c r="U269" s="216">
        <v>5.6</v>
      </c>
      <c r="V269" s="216">
        <v>5.6</v>
      </c>
      <c r="W269" s="216">
        <v>5.7</v>
      </c>
      <c r="X269" s="216">
        <v>5.7</v>
      </c>
    </row>
    <row r="270" spans="1:24" x14ac:dyDescent="0.2">
      <c r="A270" t="s">
        <v>629</v>
      </c>
      <c r="B270" s="125" t="s">
        <v>458</v>
      </c>
      <c r="C270" s="89">
        <f t="shared" si="8"/>
        <v>-2.0449897750511249E-3</v>
      </c>
      <c r="D270" t="s">
        <v>555</v>
      </c>
      <c r="E270" s="89">
        <f t="shared" si="9"/>
        <v>1.9888623707239459E-2</v>
      </c>
      <c r="F270" s="214">
        <v>13040</v>
      </c>
      <c r="G270" s="83">
        <v>1320</v>
      </c>
      <c r="H270" s="83">
        <v>1280</v>
      </c>
      <c r="I270" s="83">
        <v>1240</v>
      </c>
      <c r="J270" s="83">
        <v>1250</v>
      </c>
      <c r="K270" s="83">
        <v>1195</v>
      </c>
      <c r="L270" s="83">
        <v>31546000</v>
      </c>
      <c r="M270" s="103" t="s">
        <v>458</v>
      </c>
      <c r="N270" s="214">
        <v>12908</v>
      </c>
      <c r="O270" s="214">
        <v>13040</v>
      </c>
      <c r="P270" s="216">
        <v>12.8</v>
      </c>
      <c r="Q270" s="216">
        <v>12.9</v>
      </c>
      <c r="R270" s="216">
        <v>12.9</v>
      </c>
      <c r="S270" s="216">
        <v>12.9</v>
      </c>
      <c r="T270" s="216">
        <v>12.9</v>
      </c>
      <c r="U270" s="216">
        <v>12.9</v>
      </c>
      <c r="V270" s="216">
        <v>12.9</v>
      </c>
      <c r="W270" s="216">
        <v>12.9</v>
      </c>
      <c r="X270" s="216">
        <v>12.8</v>
      </c>
    </row>
    <row r="271" spans="1:24" x14ac:dyDescent="0.2">
      <c r="A271" t="s">
        <v>631</v>
      </c>
      <c r="B271" s="125" t="s">
        <v>262</v>
      </c>
      <c r="C271" s="89">
        <f t="shared" si="8"/>
        <v>1.2772860226590541E-5</v>
      </c>
      <c r="D271" t="s">
        <v>155</v>
      </c>
      <c r="E271" s="89">
        <f t="shared" si="9"/>
        <v>2.4132231404958678E-2</v>
      </c>
      <c r="F271" s="214">
        <v>43495</v>
      </c>
      <c r="G271" s="83">
        <v>3180</v>
      </c>
      <c r="H271" s="83">
        <v>3150</v>
      </c>
      <c r="I271" s="83">
        <v>3065</v>
      </c>
      <c r="J271" s="83">
        <v>2915</v>
      </c>
      <c r="K271" s="83">
        <v>2815</v>
      </c>
      <c r="L271" s="83">
        <v>20630000</v>
      </c>
      <c r="M271" s="103" t="s">
        <v>262</v>
      </c>
      <c r="N271" s="214">
        <v>43650</v>
      </c>
      <c r="O271" s="214">
        <v>43495</v>
      </c>
      <c r="P271" s="216">
        <v>44</v>
      </c>
      <c r="Q271" s="216">
        <v>43.8</v>
      </c>
      <c r="R271" s="216">
        <v>43.7</v>
      </c>
      <c r="S271" s="216">
        <v>43.6</v>
      </c>
      <c r="T271" s="216">
        <v>43.6</v>
      </c>
      <c r="U271" s="216">
        <v>43.5</v>
      </c>
      <c r="V271" s="216">
        <v>43.5</v>
      </c>
      <c r="W271" s="216">
        <v>43.5</v>
      </c>
      <c r="X271" s="216">
        <v>43.5</v>
      </c>
    </row>
    <row r="272" spans="1:24" x14ac:dyDescent="0.2">
      <c r="A272" t="s">
        <v>636</v>
      </c>
      <c r="B272" s="125" t="s">
        <v>290</v>
      </c>
      <c r="C272" s="89">
        <f t="shared" si="8"/>
        <v>-4.4875246813857471E-5</v>
      </c>
      <c r="D272" t="s">
        <v>555</v>
      </c>
      <c r="E272" s="89">
        <f t="shared" si="9"/>
        <v>3.007518796992481E-2</v>
      </c>
      <c r="F272" s="214">
        <v>19808</v>
      </c>
      <c r="G272" s="83">
        <v>1860</v>
      </c>
      <c r="H272" s="83">
        <v>1800</v>
      </c>
      <c r="I272" s="83">
        <v>1745</v>
      </c>
      <c r="J272" s="83">
        <v>1640</v>
      </c>
      <c r="K272" s="83">
        <v>1600</v>
      </c>
      <c r="L272" s="83">
        <v>16618000</v>
      </c>
      <c r="M272" s="103" t="s">
        <v>290</v>
      </c>
      <c r="N272" s="214">
        <v>19590</v>
      </c>
      <c r="O272" s="214">
        <v>19808</v>
      </c>
      <c r="P272" s="216">
        <v>19.5</v>
      </c>
      <c r="Q272" s="216">
        <v>19.5</v>
      </c>
      <c r="R272" s="216">
        <v>19.600000000000001</v>
      </c>
      <c r="S272" s="216">
        <v>19.600000000000001</v>
      </c>
      <c r="T272" s="216">
        <v>19.7</v>
      </c>
      <c r="U272" s="216">
        <v>19.7</v>
      </c>
      <c r="V272" s="216">
        <v>19.8</v>
      </c>
      <c r="W272" s="216">
        <v>19.8</v>
      </c>
      <c r="X272" s="216">
        <v>19.8</v>
      </c>
    </row>
    <row r="273" spans="1:24" x14ac:dyDescent="0.2">
      <c r="A273" t="s">
        <v>633</v>
      </c>
      <c r="B273" s="125" t="s">
        <v>385</v>
      </c>
      <c r="C273" s="89">
        <f t="shared" si="8"/>
        <v>-4.1172032132138683E-3</v>
      </c>
      <c r="D273" t="s">
        <v>155</v>
      </c>
      <c r="E273" s="89">
        <f t="shared" si="9"/>
        <v>1.2702078521939953E-2</v>
      </c>
      <c r="F273" s="214">
        <v>45797</v>
      </c>
      <c r="G273" s="83">
        <v>3580</v>
      </c>
      <c r="H273" s="83">
        <v>3510</v>
      </c>
      <c r="I273" s="83">
        <v>3490</v>
      </c>
      <c r="J273" s="83">
        <v>3380</v>
      </c>
      <c r="K273" s="83">
        <v>3360</v>
      </c>
      <c r="L273" s="83">
        <v>53069000</v>
      </c>
      <c r="M273" s="103" t="s">
        <v>385</v>
      </c>
      <c r="N273" s="214">
        <v>45411</v>
      </c>
      <c r="O273" s="214">
        <v>45797</v>
      </c>
      <c r="P273" s="216">
        <v>44.8</v>
      </c>
      <c r="Q273" s="216">
        <v>44.6</v>
      </c>
      <c r="R273" s="216">
        <v>44.3</v>
      </c>
      <c r="S273" s="216">
        <v>44.1</v>
      </c>
      <c r="T273" s="216">
        <v>44.1</v>
      </c>
      <c r="U273" s="216">
        <v>44.1</v>
      </c>
      <c r="V273" s="216">
        <v>44.1</v>
      </c>
      <c r="W273" s="216">
        <v>44.1</v>
      </c>
      <c r="X273" s="216">
        <v>44.1</v>
      </c>
    </row>
    <row r="274" spans="1:24" x14ac:dyDescent="0.2">
      <c r="A274" t="s">
        <v>631</v>
      </c>
      <c r="B274" s="125" t="s">
        <v>263</v>
      </c>
      <c r="C274" s="89">
        <f t="shared" si="8"/>
        <v>-5.4863354355740145E-3</v>
      </c>
      <c r="D274" t="s">
        <v>155</v>
      </c>
      <c r="E274" s="89">
        <f t="shared" si="9"/>
        <v>1.4473684210526316E-2</v>
      </c>
      <c r="F274" s="214">
        <v>10835</v>
      </c>
      <c r="G274" s="83">
        <v>795</v>
      </c>
      <c r="H274" s="83">
        <v>785</v>
      </c>
      <c r="I274" s="83">
        <v>755</v>
      </c>
      <c r="J274" s="83">
        <v>725</v>
      </c>
      <c r="K274" s="83">
        <v>740</v>
      </c>
      <c r="L274" s="83">
        <v>2795000</v>
      </c>
      <c r="M274" s="103" t="s">
        <v>263</v>
      </c>
      <c r="N274" s="214">
        <v>10848</v>
      </c>
      <c r="O274" s="214">
        <v>10835</v>
      </c>
      <c r="P274" s="216">
        <v>10.9</v>
      </c>
      <c r="Q274" s="216">
        <v>10.8</v>
      </c>
      <c r="R274" s="216">
        <v>10.8</v>
      </c>
      <c r="S274" s="216">
        <v>10.7</v>
      </c>
      <c r="T274" s="216">
        <v>10.7</v>
      </c>
      <c r="U274" s="216">
        <v>10.5</v>
      </c>
      <c r="V274" s="216">
        <v>10.5</v>
      </c>
      <c r="W274" s="216">
        <v>10.4</v>
      </c>
      <c r="X274" s="216">
        <v>10.3</v>
      </c>
    </row>
    <row r="275" spans="1:24" x14ac:dyDescent="0.2">
      <c r="A275" t="s">
        <v>634</v>
      </c>
      <c r="B275" s="125" t="s">
        <v>215</v>
      </c>
      <c r="C275" s="89">
        <f t="shared" si="8"/>
        <v>3.7851614671729102E-3</v>
      </c>
      <c r="D275" t="s">
        <v>555</v>
      </c>
      <c r="E275" s="89">
        <f t="shared" si="9"/>
        <v>2.1224773834377174E-2</v>
      </c>
      <c r="F275" s="214">
        <v>38102</v>
      </c>
      <c r="G275" s="83">
        <v>3050</v>
      </c>
      <c r="H275" s="83">
        <v>2950</v>
      </c>
      <c r="I275" s="83">
        <v>2880</v>
      </c>
      <c r="J275" s="83">
        <v>2745</v>
      </c>
      <c r="K275" s="83">
        <v>2745</v>
      </c>
      <c r="L275" s="83">
        <v>53437000</v>
      </c>
      <c r="M275" s="103" t="s">
        <v>215</v>
      </c>
      <c r="N275" s="214">
        <v>37979</v>
      </c>
      <c r="O275" s="214">
        <v>38102</v>
      </c>
      <c r="P275" s="216">
        <v>38.5</v>
      </c>
      <c r="Q275" s="216">
        <v>38.700000000000003</v>
      </c>
      <c r="R275" s="216">
        <v>38.9</v>
      </c>
      <c r="S275" s="216">
        <v>39</v>
      </c>
      <c r="T275" s="216">
        <v>39.1</v>
      </c>
      <c r="U275" s="216">
        <v>39.200000000000003</v>
      </c>
      <c r="V275" s="216">
        <v>39.299999999999997</v>
      </c>
      <c r="W275" s="216">
        <v>39.299999999999997</v>
      </c>
      <c r="X275" s="216">
        <v>39.4</v>
      </c>
    </row>
    <row r="276" spans="1:24" x14ac:dyDescent="0.2">
      <c r="A276" t="s">
        <v>633</v>
      </c>
      <c r="B276" s="125" t="s">
        <v>386</v>
      </c>
      <c r="C276" s="89">
        <f t="shared" si="8"/>
        <v>1.9590312768081604E-2</v>
      </c>
      <c r="D276" t="s">
        <v>155</v>
      </c>
      <c r="E276" s="89">
        <f t="shared" si="9"/>
        <v>2.9789419619928096E-2</v>
      </c>
      <c r="F276" s="214">
        <v>52197</v>
      </c>
      <c r="G276" s="83">
        <v>4220</v>
      </c>
      <c r="H276" s="83">
        <v>4005</v>
      </c>
      <c r="I276" s="83">
        <v>3875</v>
      </c>
      <c r="J276" s="83">
        <v>3730</v>
      </c>
      <c r="K276" s="83">
        <v>3640</v>
      </c>
      <c r="L276" s="83">
        <v>202004000</v>
      </c>
      <c r="M276" s="103" t="s">
        <v>386</v>
      </c>
      <c r="N276" s="214">
        <v>51009</v>
      </c>
      <c r="O276" s="214">
        <v>52197</v>
      </c>
      <c r="P276" s="216">
        <v>51.8</v>
      </c>
      <c r="Q276" s="216">
        <v>53.1</v>
      </c>
      <c r="R276" s="216">
        <v>54.7</v>
      </c>
      <c r="S276" s="216">
        <v>56</v>
      </c>
      <c r="T276" s="216">
        <v>57.2</v>
      </c>
      <c r="U276" s="216">
        <v>58.4</v>
      </c>
      <c r="V276" s="216">
        <v>59.4</v>
      </c>
      <c r="W276" s="216">
        <v>60.6</v>
      </c>
      <c r="X276" s="216">
        <v>61.4</v>
      </c>
    </row>
    <row r="277" spans="1:24" x14ac:dyDescent="0.2">
      <c r="A277" t="s">
        <v>638</v>
      </c>
      <c r="B277" s="125" t="s">
        <v>499</v>
      </c>
      <c r="C277" s="89">
        <f t="shared" si="8"/>
        <v>-2.2995159760078473E-3</v>
      </c>
      <c r="D277" t="s">
        <v>155</v>
      </c>
      <c r="E277" s="89">
        <f t="shared" si="9"/>
        <v>1.6E-2</v>
      </c>
      <c r="F277" s="214">
        <v>20729</v>
      </c>
      <c r="G277" s="83">
        <v>1445</v>
      </c>
      <c r="H277" s="83">
        <v>1385</v>
      </c>
      <c r="I277" s="83">
        <v>1365</v>
      </c>
      <c r="J277" s="83">
        <v>1345</v>
      </c>
      <c r="K277" s="83">
        <v>1335</v>
      </c>
      <c r="L277" s="83">
        <v>-10938000</v>
      </c>
      <c r="M277" s="103" t="s">
        <v>499</v>
      </c>
      <c r="N277" s="214">
        <v>20692</v>
      </c>
      <c r="O277" s="214">
        <v>20729</v>
      </c>
      <c r="P277" s="216">
        <v>20.6</v>
      </c>
      <c r="Q277" s="216">
        <v>20.6</v>
      </c>
      <c r="R277" s="216">
        <v>20.6</v>
      </c>
      <c r="S277" s="216">
        <v>20.6</v>
      </c>
      <c r="T277" s="216">
        <v>20.5</v>
      </c>
      <c r="U277" s="216">
        <v>20.5</v>
      </c>
      <c r="V277" s="216">
        <v>20.399999999999999</v>
      </c>
      <c r="W277" s="216">
        <v>20.399999999999999</v>
      </c>
      <c r="X277" s="216">
        <v>20.3</v>
      </c>
    </row>
    <row r="278" spans="1:24" x14ac:dyDescent="0.2">
      <c r="A278" t="s">
        <v>638</v>
      </c>
      <c r="B278" s="125" t="s">
        <v>500</v>
      </c>
      <c r="C278" s="89">
        <f t="shared" si="8"/>
        <v>3.065863199069669E-3</v>
      </c>
      <c r="D278" t="s">
        <v>526</v>
      </c>
      <c r="E278" s="89">
        <f t="shared" si="9"/>
        <v>1.8047969603419617E-2</v>
      </c>
      <c r="F278" s="214">
        <v>57805</v>
      </c>
      <c r="G278" s="83">
        <v>4425</v>
      </c>
      <c r="H278" s="83">
        <v>4320</v>
      </c>
      <c r="I278" s="83">
        <v>4180</v>
      </c>
      <c r="J278" s="83">
        <v>4085</v>
      </c>
      <c r="K278" s="83">
        <v>4045</v>
      </c>
      <c r="L278" s="83">
        <v>78905000</v>
      </c>
      <c r="M278" s="103" t="s">
        <v>500</v>
      </c>
      <c r="N278" s="214">
        <v>57419</v>
      </c>
      <c r="O278" s="214">
        <v>57805</v>
      </c>
      <c r="P278" s="216">
        <v>57.5</v>
      </c>
      <c r="Q278" s="216">
        <v>57.8</v>
      </c>
      <c r="R278" s="216">
        <v>58</v>
      </c>
      <c r="S278" s="216">
        <v>58.3</v>
      </c>
      <c r="T278" s="216">
        <v>58.5</v>
      </c>
      <c r="U278" s="216">
        <v>58.8</v>
      </c>
      <c r="V278" s="216">
        <v>59</v>
      </c>
      <c r="W278" s="216">
        <v>59.2</v>
      </c>
      <c r="X278" s="216">
        <v>59.4</v>
      </c>
    </row>
    <row r="279" spans="1:24" x14ac:dyDescent="0.2">
      <c r="A279" t="s">
        <v>629</v>
      </c>
      <c r="B279" s="125" t="s">
        <v>459</v>
      </c>
      <c r="C279" s="89">
        <f t="shared" si="8"/>
        <v>3.6492346423230384E-3</v>
      </c>
      <c r="D279" t="s">
        <v>526</v>
      </c>
      <c r="E279" s="89">
        <f t="shared" si="9"/>
        <v>1.591187270501836E-2</v>
      </c>
      <c r="F279" s="214">
        <v>76972</v>
      </c>
      <c r="G279" s="83">
        <v>5945</v>
      </c>
      <c r="H279" s="83">
        <v>5850</v>
      </c>
      <c r="I279" s="83">
        <v>5750</v>
      </c>
      <c r="J279" s="83">
        <v>5560</v>
      </c>
      <c r="K279" s="83">
        <v>5490</v>
      </c>
      <c r="L279" s="83">
        <v>90672000</v>
      </c>
      <c r="M279" s="103" t="s">
        <v>459</v>
      </c>
      <c r="N279" s="214">
        <v>77189</v>
      </c>
      <c r="O279" s="214">
        <v>76972</v>
      </c>
      <c r="P279" s="216">
        <v>77.3</v>
      </c>
      <c r="Q279" s="216">
        <v>77.5</v>
      </c>
      <c r="R279" s="216">
        <v>77.7</v>
      </c>
      <c r="S279" s="216">
        <v>77.900000000000006</v>
      </c>
      <c r="T279" s="216">
        <v>78.099999999999994</v>
      </c>
      <c r="U279" s="216">
        <v>78.3</v>
      </c>
      <c r="V279" s="216">
        <v>78.599999999999994</v>
      </c>
      <c r="W279" s="216">
        <v>79.099999999999994</v>
      </c>
      <c r="X279" s="216">
        <v>79.5</v>
      </c>
    </row>
    <row r="280" spans="1:24" x14ac:dyDescent="0.2">
      <c r="A280" t="s">
        <v>633</v>
      </c>
      <c r="B280" s="125" t="s">
        <v>387</v>
      </c>
      <c r="C280" s="89">
        <f t="shared" si="8"/>
        <v>5.8706583455664079E-3</v>
      </c>
      <c r="D280" t="s">
        <v>526</v>
      </c>
      <c r="E280" s="89">
        <f t="shared" si="9"/>
        <v>2.8390732130191505E-2</v>
      </c>
      <c r="F280" s="214">
        <v>638751</v>
      </c>
      <c r="G280" s="83">
        <v>54665</v>
      </c>
      <c r="H280" s="83">
        <v>52950</v>
      </c>
      <c r="I280" s="83">
        <v>50425</v>
      </c>
      <c r="J280" s="83">
        <v>48280</v>
      </c>
      <c r="K280" s="83">
        <v>47460</v>
      </c>
      <c r="L280" s="83">
        <v>1334582000</v>
      </c>
      <c r="M280" s="103" t="s">
        <v>387</v>
      </c>
      <c r="N280" s="214">
        <v>638221</v>
      </c>
      <c r="O280" s="214">
        <v>638751</v>
      </c>
      <c r="P280" s="216">
        <v>641.4</v>
      </c>
      <c r="Q280" s="216">
        <v>645.70000000000005</v>
      </c>
      <c r="R280" s="216">
        <v>648.70000000000005</v>
      </c>
      <c r="S280" s="216">
        <v>651.5</v>
      </c>
      <c r="T280" s="216">
        <v>655.6</v>
      </c>
      <c r="U280" s="216">
        <v>659.7</v>
      </c>
      <c r="V280" s="216">
        <v>664.1</v>
      </c>
      <c r="W280" s="216">
        <v>668.3</v>
      </c>
      <c r="X280" s="216">
        <v>672.5</v>
      </c>
    </row>
    <row r="281" spans="1:24" x14ac:dyDescent="0.2">
      <c r="A281" t="s">
        <v>631</v>
      </c>
      <c r="B281" s="125" t="s">
        <v>264</v>
      </c>
      <c r="C281" s="89">
        <f t="shared" si="8"/>
        <v>1.6205171563446769E-3</v>
      </c>
      <c r="D281" t="s">
        <v>555</v>
      </c>
      <c r="E281" s="89">
        <f t="shared" si="9"/>
        <v>3.1055900621118012E-2</v>
      </c>
      <c r="F281" s="214">
        <v>1577</v>
      </c>
      <c r="G281" s="83">
        <v>175</v>
      </c>
      <c r="H281" s="83">
        <v>165</v>
      </c>
      <c r="I281" s="83">
        <v>160</v>
      </c>
      <c r="J281" s="83">
        <v>155</v>
      </c>
      <c r="K281" s="83">
        <v>150</v>
      </c>
      <c r="L281" s="83">
        <v>-6593000</v>
      </c>
      <c r="M281" s="103" t="s">
        <v>264</v>
      </c>
      <c r="N281" s="214">
        <v>1495</v>
      </c>
      <c r="O281" s="214">
        <v>1577</v>
      </c>
      <c r="P281" s="216">
        <v>1.6</v>
      </c>
      <c r="Q281" s="216">
        <v>1.7</v>
      </c>
      <c r="R281" s="216">
        <v>1.7</v>
      </c>
      <c r="S281" s="216">
        <v>1.7</v>
      </c>
      <c r="T281" s="216">
        <v>1.6</v>
      </c>
      <c r="U281" s="216">
        <v>1.6</v>
      </c>
      <c r="V281" s="216">
        <v>1.6</v>
      </c>
      <c r="W281" s="216">
        <v>1.6</v>
      </c>
      <c r="X281" s="216">
        <v>1.6</v>
      </c>
    </row>
    <row r="282" spans="1:24" x14ac:dyDescent="0.2">
      <c r="A282" t="s">
        <v>638</v>
      </c>
      <c r="B282" s="125" t="s">
        <v>460</v>
      </c>
      <c r="C282" s="89">
        <f t="shared" si="8"/>
        <v>1.9639350116050706E-3</v>
      </c>
      <c r="D282" t="s">
        <v>155</v>
      </c>
      <c r="E282" s="89">
        <f t="shared" si="9"/>
        <v>1.9069767441860466E-2</v>
      </c>
      <c r="F282" s="214">
        <v>22404</v>
      </c>
      <c r="G282" s="83">
        <v>2245</v>
      </c>
      <c r="H282" s="83">
        <v>2210</v>
      </c>
      <c r="I282" s="83">
        <v>2165</v>
      </c>
      <c r="J282" s="83">
        <v>2090</v>
      </c>
      <c r="K282" s="83">
        <v>2040</v>
      </c>
      <c r="L282" s="83">
        <v>-7283000</v>
      </c>
      <c r="M282" s="103" t="s">
        <v>460</v>
      </c>
      <c r="N282" s="214">
        <v>22333</v>
      </c>
      <c r="O282" s="214">
        <v>22404</v>
      </c>
      <c r="P282" s="216">
        <v>22.5</v>
      </c>
      <c r="Q282" s="216">
        <v>22.6</v>
      </c>
      <c r="R282" s="216">
        <v>22.6</v>
      </c>
      <c r="S282" s="216">
        <v>22.6</v>
      </c>
      <c r="T282" s="216">
        <v>22.6</v>
      </c>
      <c r="U282" s="216">
        <v>22.7</v>
      </c>
      <c r="V282" s="216">
        <v>22.7</v>
      </c>
      <c r="W282" s="216">
        <v>22.7</v>
      </c>
      <c r="X282" s="216">
        <v>22.8</v>
      </c>
    </row>
    <row r="283" spans="1:24" x14ac:dyDescent="0.2">
      <c r="A283" t="s">
        <v>630</v>
      </c>
      <c r="B283" s="125" t="s">
        <v>334</v>
      </c>
      <c r="C283" s="89">
        <f t="shared" si="8"/>
        <v>-1.629054669158162E-3</v>
      </c>
      <c r="D283" t="s">
        <v>155</v>
      </c>
      <c r="E283" s="89">
        <f t="shared" si="9"/>
        <v>1.5096065873741994E-2</v>
      </c>
      <c r="F283" s="214">
        <v>46380</v>
      </c>
      <c r="G283" s="83">
        <v>4525</v>
      </c>
      <c r="H283" s="83">
        <v>4470</v>
      </c>
      <c r="I283" s="83">
        <v>4385</v>
      </c>
      <c r="J283" s="83">
        <v>4285</v>
      </c>
      <c r="K283" s="83">
        <v>4195</v>
      </c>
      <c r="L283" s="83">
        <v>33251000</v>
      </c>
      <c r="M283" s="103" t="s">
        <v>334</v>
      </c>
      <c r="N283" s="214">
        <v>46197</v>
      </c>
      <c r="O283" s="214">
        <v>46380</v>
      </c>
      <c r="P283" s="216">
        <v>46.3</v>
      </c>
      <c r="Q283" s="216">
        <v>46.3</v>
      </c>
      <c r="R283" s="216">
        <v>46.2</v>
      </c>
      <c r="S283" s="216">
        <v>46.1</v>
      </c>
      <c r="T283" s="216">
        <v>45.9</v>
      </c>
      <c r="U283" s="216">
        <v>45.8</v>
      </c>
      <c r="V283" s="216">
        <v>45.8</v>
      </c>
      <c r="W283" s="216">
        <v>45.7</v>
      </c>
      <c r="X283" s="216">
        <v>45.7</v>
      </c>
    </row>
    <row r="284" spans="1:24" x14ac:dyDescent="0.2">
      <c r="A284" t="s">
        <v>631</v>
      </c>
      <c r="B284" s="125" t="s">
        <v>265</v>
      </c>
      <c r="C284" s="89">
        <f t="shared" si="8"/>
        <v>6.2196705625042715E-3</v>
      </c>
      <c r="D284" t="s">
        <v>555</v>
      </c>
      <c r="E284" s="89">
        <f t="shared" si="9"/>
        <v>2.2170361726954493E-2</v>
      </c>
      <c r="F284" s="214">
        <v>9754</v>
      </c>
      <c r="G284" s="83">
        <v>910</v>
      </c>
      <c r="H284" s="83">
        <v>890</v>
      </c>
      <c r="I284" s="83">
        <v>850</v>
      </c>
      <c r="J284" s="83">
        <v>820</v>
      </c>
      <c r="K284" s="83">
        <v>815</v>
      </c>
      <c r="L284" s="83">
        <v>-8871000</v>
      </c>
      <c r="M284" s="103" t="s">
        <v>265</v>
      </c>
      <c r="N284" s="214">
        <v>9701</v>
      </c>
      <c r="O284" s="214">
        <v>9754</v>
      </c>
      <c r="P284" s="216">
        <v>9.6999999999999993</v>
      </c>
      <c r="Q284" s="216">
        <v>9.8000000000000007</v>
      </c>
      <c r="R284" s="216">
        <v>9.9</v>
      </c>
      <c r="S284" s="216">
        <v>9.9</v>
      </c>
      <c r="T284" s="216">
        <v>10</v>
      </c>
      <c r="U284" s="216">
        <v>10.1</v>
      </c>
      <c r="V284" s="216">
        <v>10.199999999999999</v>
      </c>
      <c r="W284" s="216">
        <v>10.199999999999999</v>
      </c>
      <c r="X284" s="216">
        <v>10.3</v>
      </c>
    </row>
    <row r="285" spans="1:24" x14ac:dyDescent="0.2">
      <c r="A285" t="s">
        <v>633</v>
      </c>
      <c r="B285" s="125" t="s">
        <v>388</v>
      </c>
      <c r="C285" s="89">
        <f t="shared" si="8"/>
        <v>3.1129991600748943E-3</v>
      </c>
      <c r="D285" t="s">
        <v>155</v>
      </c>
      <c r="E285" s="89">
        <f t="shared" si="9"/>
        <v>1.9648592480634802E-2</v>
      </c>
      <c r="F285" s="214">
        <v>77917</v>
      </c>
      <c r="G285" s="83">
        <v>5595</v>
      </c>
      <c r="H285" s="83">
        <v>5450</v>
      </c>
      <c r="I285" s="83">
        <v>5265</v>
      </c>
      <c r="J285" s="83">
        <v>5080</v>
      </c>
      <c r="K285" s="83">
        <v>5075</v>
      </c>
      <c r="L285" s="83">
        <v>422186000</v>
      </c>
      <c r="M285" s="103" t="s">
        <v>388</v>
      </c>
      <c r="N285" s="214">
        <v>77859</v>
      </c>
      <c r="O285" s="214">
        <v>77917</v>
      </c>
      <c r="P285" s="216">
        <v>78.5</v>
      </c>
      <c r="Q285" s="216">
        <v>78.8</v>
      </c>
      <c r="R285" s="216">
        <v>79</v>
      </c>
      <c r="S285" s="216">
        <v>79.2</v>
      </c>
      <c r="T285" s="216">
        <v>79.5</v>
      </c>
      <c r="U285" s="216">
        <v>79.599999999999994</v>
      </c>
      <c r="V285" s="216">
        <v>79.8</v>
      </c>
      <c r="W285" s="216">
        <v>79.900000000000006</v>
      </c>
      <c r="X285" s="216">
        <v>80.099999999999994</v>
      </c>
    </row>
    <row r="286" spans="1:24" x14ac:dyDescent="0.2">
      <c r="A286" t="s">
        <v>632</v>
      </c>
      <c r="B286" s="125" t="s">
        <v>193</v>
      </c>
      <c r="C286" s="89">
        <f t="shared" si="8"/>
        <v>-3.9299749910682389E-3</v>
      </c>
      <c r="D286" t="s">
        <v>155</v>
      </c>
      <c r="E286" s="89">
        <f t="shared" si="9"/>
        <v>3.4188034188034191E-2</v>
      </c>
      <c r="F286" s="214">
        <v>933</v>
      </c>
      <c r="G286" s="83">
        <v>125</v>
      </c>
      <c r="H286" s="83">
        <v>130</v>
      </c>
      <c r="I286" s="83">
        <v>110</v>
      </c>
      <c r="J286" s="83">
        <v>115</v>
      </c>
      <c r="K286" s="83">
        <v>105</v>
      </c>
      <c r="L286" s="83">
        <v>5031000</v>
      </c>
      <c r="M286" s="103" t="s">
        <v>193</v>
      </c>
      <c r="N286" s="214">
        <v>941</v>
      </c>
      <c r="O286" s="214">
        <v>933</v>
      </c>
      <c r="P286" s="216">
        <v>0.9</v>
      </c>
      <c r="Q286" s="216">
        <v>0.9</v>
      </c>
      <c r="R286" s="216">
        <v>0.9</v>
      </c>
      <c r="S286" s="216">
        <v>0.9</v>
      </c>
      <c r="T286" s="216">
        <v>0.9</v>
      </c>
      <c r="U286" s="216">
        <v>0.9</v>
      </c>
      <c r="V286" s="216">
        <v>0.9</v>
      </c>
      <c r="W286" s="216">
        <v>0.9</v>
      </c>
      <c r="X286" s="216">
        <v>0.9</v>
      </c>
    </row>
    <row r="287" spans="1:24" x14ac:dyDescent="0.2">
      <c r="A287" t="s">
        <v>638</v>
      </c>
      <c r="B287" s="125" t="s">
        <v>501</v>
      </c>
      <c r="C287" s="89">
        <f t="shared" si="8"/>
        <v>6.735310056514671E-3</v>
      </c>
      <c r="D287" t="s">
        <v>155</v>
      </c>
      <c r="E287" s="89">
        <f t="shared" si="9"/>
        <v>1.4460511679644048E-2</v>
      </c>
      <c r="F287" s="214">
        <v>12917</v>
      </c>
      <c r="G287" s="83">
        <v>935</v>
      </c>
      <c r="H287" s="83">
        <v>895</v>
      </c>
      <c r="I287" s="83">
        <v>905</v>
      </c>
      <c r="J287" s="83">
        <v>890</v>
      </c>
      <c r="K287" s="83">
        <v>870</v>
      </c>
      <c r="L287" s="83">
        <v>334000</v>
      </c>
      <c r="M287" s="103" t="s">
        <v>501</v>
      </c>
      <c r="N287" s="214">
        <v>12950</v>
      </c>
      <c r="O287" s="214">
        <v>12917</v>
      </c>
      <c r="P287" s="216">
        <v>13.4</v>
      </c>
      <c r="Q287" s="216">
        <v>13.6</v>
      </c>
      <c r="R287" s="216">
        <v>13.8</v>
      </c>
      <c r="S287" s="216">
        <v>13.9</v>
      </c>
      <c r="T287" s="216">
        <v>14</v>
      </c>
      <c r="U287" s="216">
        <v>13.9</v>
      </c>
      <c r="V287" s="216">
        <v>13.9</v>
      </c>
      <c r="W287" s="216">
        <v>13.8</v>
      </c>
      <c r="X287" s="216">
        <v>13.7</v>
      </c>
    </row>
    <row r="288" spans="1:24" x14ac:dyDescent="0.2">
      <c r="A288" t="s">
        <v>640</v>
      </c>
      <c r="B288" s="125" t="s">
        <v>410</v>
      </c>
      <c r="C288" s="89">
        <f t="shared" si="8"/>
        <v>-2.6183362682442638E-3</v>
      </c>
      <c r="D288" t="s">
        <v>155</v>
      </c>
      <c r="E288" s="89">
        <f t="shared" si="9"/>
        <v>1.6384337683976673E-2</v>
      </c>
      <c r="F288" s="214">
        <v>33694</v>
      </c>
      <c r="G288" s="83">
        <v>3770</v>
      </c>
      <c r="H288" s="83">
        <v>3685</v>
      </c>
      <c r="I288" s="83">
        <v>3615</v>
      </c>
      <c r="J288" s="83">
        <v>3460</v>
      </c>
      <c r="K288" s="83">
        <v>3475</v>
      </c>
      <c r="L288" s="83">
        <v>31859000</v>
      </c>
      <c r="M288" s="103" t="s">
        <v>410</v>
      </c>
      <c r="N288" s="214">
        <v>33759</v>
      </c>
      <c r="O288" s="214">
        <v>33694</v>
      </c>
      <c r="P288" s="216">
        <v>33.5</v>
      </c>
      <c r="Q288" s="216">
        <v>33.4</v>
      </c>
      <c r="R288" s="216">
        <v>33.299999999999997</v>
      </c>
      <c r="S288" s="216">
        <v>33.200000000000003</v>
      </c>
      <c r="T288" s="216">
        <v>33.200000000000003</v>
      </c>
      <c r="U288" s="216">
        <v>33.1</v>
      </c>
      <c r="V288" s="216">
        <v>33</v>
      </c>
      <c r="W288" s="216">
        <v>33</v>
      </c>
      <c r="X288" s="216">
        <v>32.9</v>
      </c>
    </row>
    <row r="289" spans="1:24" x14ac:dyDescent="0.2">
      <c r="A289" t="s">
        <v>633</v>
      </c>
      <c r="B289" s="125" t="s">
        <v>528</v>
      </c>
      <c r="C289" s="89">
        <f t="shared" si="8"/>
        <v>7.7003978138515256E-3</v>
      </c>
      <c r="D289" t="s">
        <v>526</v>
      </c>
      <c r="E289" s="89">
        <f t="shared" si="9"/>
        <v>3.1489570333392759E-2</v>
      </c>
      <c r="F289" s="214">
        <v>531935</v>
      </c>
      <c r="G289" s="83">
        <v>48735</v>
      </c>
      <c r="H289" s="83">
        <v>46785</v>
      </c>
      <c r="I289" s="83">
        <v>44635</v>
      </c>
      <c r="J289" s="83">
        <v>42535</v>
      </c>
      <c r="K289" s="83">
        <v>41670</v>
      </c>
      <c r="L289" s="83">
        <v>125755000</v>
      </c>
      <c r="M289" s="103" t="s">
        <v>528</v>
      </c>
      <c r="N289" s="214">
        <v>524305</v>
      </c>
      <c r="O289" s="214">
        <v>531935</v>
      </c>
      <c r="P289" s="216">
        <v>532.6</v>
      </c>
      <c r="Q289" s="216">
        <v>538.9</v>
      </c>
      <c r="R289" s="216">
        <v>544.20000000000005</v>
      </c>
      <c r="S289" s="216">
        <v>549.9</v>
      </c>
      <c r="T289" s="216">
        <v>554.6</v>
      </c>
      <c r="U289" s="216">
        <v>558.79999999999995</v>
      </c>
      <c r="V289" s="216">
        <v>562.5</v>
      </c>
      <c r="W289" s="216">
        <v>565.79999999999995</v>
      </c>
      <c r="X289" s="216">
        <v>568.79999999999995</v>
      </c>
    </row>
    <row r="290" spans="1:24" x14ac:dyDescent="0.2">
      <c r="A290" t="s">
        <v>629</v>
      </c>
      <c r="B290" s="125" t="s">
        <v>569</v>
      </c>
      <c r="C290" s="89">
        <f t="shared" si="8"/>
        <v>6.9311827910267573E-3</v>
      </c>
      <c r="D290" t="s">
        <v>526</v>
      </c>
      <c r="E290" s="89">
        <f t="shared" si="9"/>
        <v>2.6058631921824105E-2</v>
      </c>
      <c r="F290" s="214">
        <v>153429</v>
      </c>
      <c r="G290" s="83">
        <v>15825</v>
      </c>
      <c r="H290" s="83">
        <v>15370</v>
      </c>
      <c r="I290" s="93">
        <v>14785</v>
      </c>
      <c r="J290" s="93">
        <v>13480</v>
      </c>
      <c r="K290" s="93">
        <v>13913</v>
      </c>
      <c r="L290" s="93">
        <v>11041000</v>
      </c>
      <c r="M290" s="103" t="s">
        <v>569</v>
      </c>
      <c r="N290" s="214">
        <v>152472</v>
      </c>
      <c r="O290" s="214">
        <v>153429</v>
      </c>
      <c r="P290" s="216">
        <v>155.30000000000001</v>
      </c>
      <c r="Q290" s="216">
        <v>157</v>
      </c>
      <c r="R290" s="216">
        <v>158.19999999999999</v>
      </c>
      <c r="S290" s="216">
        <v>159.19999999999999</v>
      </c>
      <c r="T290" s="216">
        <v>160.30000000000001</v>
      </c>
      <c r="U290" s="216">
        <v>161.1</v>
      </c>
      <c r="V290" s="216">
        <v>161.9</v>
      </c>
      <c r="W290" s="216">
        <v>162.4</v>
      </c>
      <c r="X290" s="216">
        <v>163</v>
      </c>
    </row>
    <row r="291" spans="1:24" x14ac:dyDescent="0.2">
      <c r="A291" t="s">
        <v>638</v>
      </c>
      <c r="B291" s="125" t="s">
        <v>502</v>
      </c>
      <c r="C291" s="89">
        <f t="shared" si="8"/>
        <v>4.6296296296296294E-3</v>
      </c>
      <c r="D291" t="s">
        <v>155</v>
      </c>
      <c r="E291" s="89">
        <f t="shared" si="9"/>
        <v>1.4634146341463415E-2</v>
      </c>
      <c r="F291" s="214">
        <v>10560</v>
      </c>
      <c r="G291" s="83">
        <v>650</v>
      </c>
      <c r="H291" s="83">
        <v>625</v>
      </c>
      <c r="I291" s="83">
        <v>605</v>
      </c>
      <c r="J291" s="83">
        <v>590</v>
      </c>
      <c r="K291" s="83">
        <v>605</v>
      </c>
      <c r="L291" s="83">
        <v>1500000</v>
      </c>
      <c r="M291" s="103" t="s">
        <v>502</v>
      </c>
      <c r="N291" s="214">
        <v>10569</v>
      </c>
      <c r="O291" s="214">
        <v>10560</v>
      </c>
      <c r="P291" s="216">
        <v>11.2</v>
      </c>
      <c r="Q291" s="216">
        <v>11.3</v>
      </c>
      <c r="R291" s="216">
        <v>11.3</v>
      </c>
      <c r="S291" s="216">
        <v>11.3</v>
      </c>
      <c r="T291" s="216">
        <v>11.2</v>
      </c>
      <c r="U291" s="216">
        <v>11.2</v>
      </c>
      <c r="V291" s="216">
        <v>11.1</v>
      </c>
      <c r="W291" s="216">
        <v>11.1</v>
      </c>
      <c r="X291" s="216">
        <v>11</v>
      </c>
    </row>
    <row r="292" spans="1:24" x14ac:dyDescent="0.2">
      <c r="A292" t="s">
        <v>629</v>
      </c>
      <c r="B292" s="125" t="s">
        <v>524</v>
      </c>
      <c r="C292" s="89">
        <f t="shared" si="8"/>
        <v>-7.3901317746873584E-4</v>
      </c>
      <c r="D292" t="s">
        <v>555</v>
      </c>
      <c r="E292" s="89">
        <f t="shared" si="9"/>
        <v>2.3890784982935155E-2</v>
      </c>
      <c r="F292" s="214">
        <v>11577</v>
      </c>
      <c r="G292" s="83">
        <v>1245</v>
      </c>
      <c r="H292" s="83">
        <v>1220</v>
      </c>
      <c r="I292" s="83">
        <v>1155</v>
      </c>
      <c r="J292" s="83">
        <v>1135</v>
      </c>
      <c r="K292" s="83">
        <v>1105</v>
      </c>
      <c r="L292" s="83">
        <v>2075000</v>
      </c>
      <c r="M292" s="103" t="s">
        <v>524</v>
      </c>
      <c r="N292" s="214">
        <v>11599</v>
      </c>
      <c r="O292" s="214">
        <v>11577</v>
      </c>
      <c r="P292" s="216">
        <v>11.6</v>
      </c>
      <c r="Q292" s="216">
        <v>11.6</v>
      </c>
      <c r="R292" s="216">
        <v>11.6</v>
      </c>
      <c r="S292" s="216">
        <v>11.6</v>
      </c>
      <c r="T292" s="216">
        <v>11.5</v>
      </c>
      <c r="U292" s="216">
        <v>11.5</v>
      </c>
      <c r="V292" s="216">
        <v>11.5</v>
      </c>
      <c r="W292" s="216">
        <v>11.5</v>
      </c>
      <c r="X292" s="216">
        <v>11.5</v>
      </c>
    </row>
    <row r="293" spans="1:24" x14ac:dyDescent="0.2">
      <c r="A293" t="s">
        <v>629</v>
      </c>
      <c r="B293" s="125" t="s">
        <v>462</v>
      </c>
      <c r="C293" s="89">
        <f t="shared" si="8"/>
        <v>3.2166802309808941E-3</v>
      </c>
      <c r="D293" t="s">
        <v>555</v>
      </c>
      <c r="E293" s="89">
        <f t="shared" si="9"/>
        <v>1.9657808518383692E-2</v>
      </c>
      <c r="F293" s="214">
        <v>28670</v>
      </c>
      <c r="G293" s="83">
        <v>2900</v>
      </c>
      <c r="H293" s="83">
        <v>2845</v>
      </c>
      <c r="I293" s="83">
        <v>2720</v>
      </c>
      <c r="J293" s="83">
        <v>2640</v>
      </c>
      <c r="K293" s="83">
        <v>2630</v>
      </c>
      <c r="L293" s="83">
        <v>10266000</v>
      </c>
      <c r="M293" s="103" t="s">
        <v>462</v>
      </c>
      <c r="N293" s="214">
        <v>28585</v>
      </c>
      <c r="O293" s="214">
        <v>28670</v>
      </c>
      <c r="P293" s="216">
        <v>28.4</v>
      </c>
      <c r="Q293" s="216">
        <v>28.5</v>
      </c>
      <c r="R293" s="216">
        <v>28.6</v>
      </c>
      <c r="S293" s="216">
        <v>28.7</v>
      </c>
      <c r="T293" s="216">
        <v>28.9</v>
      </c>
      <c r="U293" s="216">
        <v>29</v>
      </c>
      <c r="V293" s="216">
        <v>29.2</v>
      </c>
      <c r="W293" s="216">
        <v>29.3</v>
      </c>
      <c r="X293" s="216">
        <v>29.5</v>
      </c>
    </row>
    <row r="294" spans="1:24" x14ac:dyDescent="0.2">
      <c r="A294" t="s">
        <v>638</v>
      </c>
      <c r="B294" s="125" t="s">
        <v>503</v>
      </c>
      <c r="C294" s="89">
        <f t="shared" si="8"/>
        <v>-7.4104353272185289E-5</v>
      </c>
      <c r="D294" t="s">
        <v>526</v>
      </c>
      <c r="E294" s="89">
        <f t="shared" si="9"/>
        <v>1.565245168503434E-2</v>
      </c>
      <c r="F294" s="214">
        <v>92962</v>
      </c>
      <c r="G294" s="83">
        <v>6510</v>
      </c>
      <c r="H294" s="83">
        <v>6415</v>
      </c>
      <c r="I294" s="83">
        <v>6250</v>
      </c>
      <c r="J294" s="83">
        <v>6110</v>
      </c>
      <c r="K294" s="83">
        <v>6020</v>
      </c>
      <c r="L294" s="83">
        <v>248733000</v>
      </c>
      <c r="M294" s="103" t="s">
        <v>503</v>
      </c>
      <c r="N294" s="214">
        <v>93315</v>
      </c>
      <c r="O294" s="214">
        <v>92962</v>
      </c>
      <c r="P294" s="216">
        <v>92.8</v>
      </c>
      <c r="Q294" s="216">
        <v>92.6</v>
      </c>
      <c r="R294" s="216">
        <v>92.7</v>
      </c>
      <c r="S294" s="216">
        <v>92.8</v>
      </c>
      <c r="T294" s="216">
        <v>92.9</v>
      </c>
      <c r="U294" s="216">
        <v>92.9</v>
      </c>
      <c r="V294" s="216">
        <v>92.9</v>
      </c>
      <c r="W294" s="216">
        <v>92.8</v>
      </c>
      <c r="X294" s="216">
        <v>92.9</v>
      </c>
    </row>
    <row r="295" spans="1:24" x14ac:dyDescent="0.2">
      <c r="A295" t="s">
        <v>633</v>
      </c>
      <c r="B295" s="125" t="s">
        <v>389</v>
      </c>
      <c r="C295" s="89">
        <f t="shared" si="8"/>
        <v>3.4776352080585203E-3</v>
      </c>
      <c r="D295" t="s">
        <v>155</v>
      </c>
      <c r="E295" s="89">
        <f t="shared" si="9"/>
        <v>1.5909090909090907E-2</v>
      </c>
      <c r="F295" s="214">
        <v>25017</v>
      </c>
      <c r="G295" s="83">
        <v>1825</v>
      </c>
      <c r="H295" s="83">
        <v>1820</v>
      </c>
      <c r="I295" s="83">
        <v>1765</v>
      </c>
      <c r="J295" s="83">
        <v>1705</v>
      </c>
      <c r="K295" s="83">
        <v>1685</v>
      </c>
      <c r="L295" s="83">
        <v>21365000</v>
      </c>
      <c r="M295" s="103" t="s">
        <v>389</v>
      </c>
      <c r="N295" s="214">
        <v>24999</v>
      </c>
      <c r="O295" s="214">
        <v>25017</v>
      </c>
      <c r="P295" s="216">
        <v>25.1</v>
      </c>
      <c r="Q295" s="216">
        <v>25.1</v>
      </c>
      <c r="R295" s="216">
        <v>25.1</v>
      </c>
      <c r="S295" s="216">
        <v>25.2</v>
      </c>
      <c r="T295" s="216">
        <v>25.3</v>
      </c>
      <c r="U295" s="216">
        <v>25.5</v>
      </c>
      <c r="V295" s="216">
        <v>25.6</v>
      </c>
      <c r="W295" s="216">
        <v>25.8</v>
      </c>
      <c r="X295" s="216">
        <v>25.8</v>
      </c>
    </row>
    <row r="296" spans="1:24" x14ac:dyDescent="0.2">
      <c r="A296" t="s">
        <v>637</v>
      </c>
      <c r="B296" s="125" t="s">
        <v>172</v>
      </c>
      <c r="C296" s="89">
        <f t="shared" si="8"/>
        <v>1.2145262145262145E-2</v>
      </c>
      <c r="D296" t="s">
        <v>155</v>
      </c>
      <c r="E296" s="89">
        <f t="shared" si="9"/>
        <v>6.9984447900466561E-3</v>
      </c>
      <c r="F296" s="214">
        <v>14784</v>
      </c>
      <c r="G296" s="83">
        <v>1290</v>
      </c>
      <c r="H296" s="83">
        <v>1330</v>
      </c>
      <c r="I296" s="83">
        <v>1290</v>
      </c>
      <c r="J296" s="83">
        <v>1275</v>
      </c>
      <c r="K296" s="83">
        <v>1245</v>
      </c>
      <c r="L296" s="83">
        <v>31929000</v>
      </c>
      <c r="M296" s="103" t="s">
        <v>172</v>
      </c>
      <c r="N296" s="214">
        <v>15768</v>
      </c>
      <c r="O296" s="214">
        <v>14784</v>
      </c>
      <c r="P296" s="216">
        <v>16.100000000000001</v>
      </c>
      <c r="Q296" s="216">
        <v>16.2</v>
      </c>
      <c r="R296" s="216">
        <v>16.3</v>
      </c>
      <c r="S296" s="216">
        <v>16.3</v>
      </c>
      <c r="T296" s="216">
        <v>16.399999999999999</v>
      </c>
      <c r="U296" s="216">
        <v>16.399999999999999</v>
      </c>
      <c r="V296" s="216">
        <v>16.399999999999999</v>
      </c>
      <c r="W296" s="216">
        <v>16.399999999999999</v>
      </c>
      <c r="X296" s="216">
        <v>16.399999999999999</v>
      </c>
    </row>
    <row r="297" spans="1:24" x14ac:dyDescent="0.2">
      <c r="A297" t="s">
        <v>640</v>
      </c>
      <c r="B297" s="125" t="s">
        <v>411</v>
      </c>
      <c r="C297" s="89">
        <f t="shared" si="8"/>
        <v>-4.3779487397458241E-3</v>
      </c>
      <c r="D297" t="s">
        <v>155</v>
      </c>
      <c r="E297" s="89">
        <f t="shared" si="9"/>
        <v>1.483795392424834E-2</v>
      </c>
      <c r="F297" s="214">
        <v>23527</v>
      </c>
      <c r="G297" s="83">
        <v>2660</v>
      </c>
      <c r="H297" s="83">
        <v>2620</v>
      </c>
      <c r="I297" s="83">
        <v>2555</v>
      </c>
      <c r="J297" s="83">
        <v>2500</v>
      </c>
      <c r="K297" s="83">
        <v>2470</v>
      </c>
      <c r="L297" s="83">
        <v>52706000</v>
      </c>
      <c r="M297" s="103" t="s">
        <v>411</v>
      </c>
      <c r="N297" s="214">
        <v>23654</v>
      </c>
      <c r="O297" s="214">
        <v>23527</v>
      </c>
      <c r="P297" s="216">
        <v>23.7</v>
      </c>
      <c r="Q297" s="216">
        <v>23.6</v>
      </c>
      <c r="R297" s="216">
        <v>23.5</v>
      </c>
      <c r="S297" s="216">
        <v>23.4</v>
      </c>
      <c r="T297" s="216">
        <v>23.3</v>
      </c>
      <c r="U297" s="216">
        <v>23.1</v>
      </c>
      <c r="V297" s="216">
        <v>23</v>
      </c>
      <c r="W297" s="216">
        <v>22.8</v>
      </c>
      <c r="X297" s="216">
        <v>22.6</v>
      </c>
    </row>
    <row r="298" spans="1:24" x14ac:dyDescent="0.2">
      <c r="A298" t="s">
        <v>632</v>
      </c>
      <c r="B298" s="125" t="s">
        <v>194</v>
      </c>
      <c r="C298" s="89">
        <f t="shared" si="8"/>
        <v>1.3953987620308418E-3</v>
      </c>
      <c r="D298" t="s">
        <v>526</v>
      </c>
      <c r="E298" s="89">
        <f t="shared" si="9"/>
        <v>1.6548463356973995E-2</v>
      </c>
      <c r="F298" s="214">
        <v>55898</v>
      </c>
      <c r="G298" s="83">
        <v>3970</v>
      </c>
      <c r="H298" s="83">
        <v>3925</v>
      </c>
      <c r="I298" s="83">
        <v>3810</v>
      </c>
      <c r="J298" s="83">
        <v>3675</v>
      </c>
      <c r="K298" s="83">
        <v>3655</v>
      </c>
      <c r="L298" s="83">
        <v>30703000</v>
      </c>
      <c r="M298" s="103" t="s">
        <v>194</v>
      </c>
      <c r="N298" s="214">
        <v>55697</v>
      </c>
      <c r="O298" s="214">
        <v>55898</v>
      </c>
      <c r="P298" s="216">
        <v>55.8</v>
      </c>
      <c r="Q298" s="216">
        <v>56</v>
      </c>
      <c r="R298" s="216">
        <v>56.2</v>
      </c>
      <c r="S298" s="216">
        <v>56.2</v>
      </c>
      <c r="T298" s="216">
        <v>56.3</v>
      </c>
      <c r="U298" s="216">
        <v>56.5</v>
      </c>
      <c r="V298" s="216">
        <v>56.4</v>
      </c>
      <c r="W298" s="216">
        <v>56.5</v>
      </c>
      <c r="X298" s="216">
        <v>56.6</v>
      </c>
    </row>
    <row r="299" spans="1:24" x14ac:dyDescent="0.2">
      <c r="A299" t="s">
        <v>636</v>
      </c>
      <c r="B299" s="125" t="s">
        <v>291</v>
      </c>
      <c r="C299" s="89">
        <f t="shared" si="8"/>
        <v>2.1839429571455433E-3</v>
      </c>
      <c r="D299" t="s">
        <v>155</v>
      </c>
      <c r="E299" s="89">
        <f t="shared" si="9"/>
        <v>1.7872711421098517E-2</v>
      </c>
      <c r="F299" s="214">
        <v>46094</v>
      </c>
      <c r="G299" s="83">
        <v>4830</v>
      </c>
      <c r="H299" s="83">
        <v>4720</v>
      </c>
      <c r="I299" s="83">
        <v>4555</v>
      </c>
      <c r="J299" s="83">
        <v>4415</v>
      </c>
      <c r="K299" s="83">
        <v>4420</v>
      </c>
      <c r="L299" s="83">
        <v>8587000</v>
      </c>
      <c r="M299" s="103" t="s">
        <v>291</v>
      </c>
      <c r="N299" s="214">
        <v>45855</v>
      </c>
      <c r="O299" s="214">
        <v>46094</v>
      </c>
      <c r="P299" s="216">
        <v>45.9</v>
      </c>
      <c r="Q299" s="216">
        <v>46</v>
      </c>
      <c r="R299" s="216">
        <v>46.2</v>
      </c>
      <c r="S299" s="216">
        <v>46.4</v>
      </c>
      <c r="T299" s="216">
        <v>46.5</v>
      </c>
      <c r="U299" s="216">
        <v>46.7</v>
      </c>
      <c r="V299" s="216">
        <v>46.9</v>
      </c>
      <c r="W299" s="216">
        <v>47</v>
      </c>
      <c r="X299" s="216">
        <v>47</v>
      </c>
    </row>
    <row r="300" spans="1:24" x14ac:dyDescent="0.2">
      <c r="A300" t="s">
        <v>629</v>
      </c>
      <c r="B300" s="125" t="s">
        <v>464</v>
      </c>
      <c r="C300" s="89">
        <f t="shared" si="8"/>
        <v>-7.7813781169064962E-4</v>
      </c>
      <c r="D300" t="s">
        <v>555</v>
      </c>
      <c r="E300" s="89">
        <f t="shared" si="9"/>
        <v>2.4635495223730517E-2</v>
      </c>
      <c r="F300" s="214">
        <v>19134</v>
      </c>
      <c r="G300" s="83">
        <v>2135</v>
      </c>
      <c r="H300" s="83">
        <v>2040</v>
      </c>
      <c r="I300" s="83">
        <v>1980</v>
      </c>
      <c r="J300" s="83">
        <v>1900</v>
      </c>
      <c r="K300" s="83">
        <v>1890</v>
      </c>
      <c r="L300" s="83">
        <v>-18850000</v>
      </c>
      <c r="M300" s="103" t="s">
        <v>464</v>
      </c>
      <c r="N300" s="214">
        <v>19035</v>
      </c>
      <c r="O300" s="214">
        <v>19134</v>
      </c>
      <c r="P300" s="216">
        <v>18.899999999999999</v>
      </c>
      <c r="Q300" s="216">
        <v>18.899999999999999</v>
      </c>
      <c r="R300" s="216">
        <v>19</v>
      </c>
      <c r="S300" s="216">
        <v>19</v>
      </c>
      <c r="T300" s="216">
        <v>19</v>
      </c>
      <c r="U300" s="216">
        <v>19</v>
      </c>
      <c r="V300" s="216">
        <v>19</v>
      </c>
      <c r="W300" s="216">
        <v>19</v>
      </c>
      <c r="X300" s="216">
        <v>19</v>
      </c>
    </row>
    <row r="301" spans="1:24" x14ac:dyDescent="0.2">
      <c r="A301" t="s">
        <v>629</v>
      </c>
      <c r="B301" s="125" t="s">
        <v>465</v>
      </c>
      <c r="C301" s="89">
        <f t="shared" si="8"/>
        <v>4.3462393417603926E-3</v>
      </c>
      <c r="D301" t="s">
        <v>555</v>
      </c>
      <c r="E301" s="89">
        <f t="shared" si="9"/>
        <v>1.5499070055796652E-2</v>
      </c>
      <c r="F301" s="214">
        <v>16745</v>
      </c>
      <c r="G301" s="83">
        <v>1680</v>
      </c>
      <c r="H301" s="83">
        <v>1640</v>
      </c>
      <c r="I301" s="83">
        <v>1600</v>
      </c>
      <c r="J301" s="83">
        <v>1590</v>
      </c>
      <c r="K301" s="83">
        <v>1555</v>
      </c>
      <c r="L301" s="83">
        <v>5441000</v>
      </c>
      <c r="M301" s="103" t="s">
        <v>465</v>
      </c>
      <c r="N301" s="214">
        <v>16628</v>
      </c>
      <c r="O301" s="214">
        <v>16745</v>
      </c>
      <c r="P301" s="216">
        <v>16.600000000000001</v>
      </c>
      <c r="Q301" s="216">
        <v>16.7</v>
      </c>
      <c r="R301" s="216">
        <v>16.8</v>
      </c>
      <c r="S301" s="216">
        <v>16.899999999999999</v>
      </c>
      <c r="T301" s="216">
        <v>17</v>
      </c>
      <c r="U301" s="216">
        <v>17.100000000000001</v>
      </c>
      <c r="V301" s="216">
        <v>17.2</v>
      </c>
      <c r="W301" s="216">
        <v>17.3</v>
      </c>
      <c r="X301" s="216">
        <v>17.399999999999999</v>
      </c>
    </row>
    <row r="302" spans="1:24" x14ac:dyDescent="0.2">
      <c r="A302" t="s">
        <v>637</v>
      </c>
      <c r="B302" s="125" t="s">
        <v>173</v>
      </c>
      <c r="C302" s="89">
        <f t="shared" si="8"/>
        <v>-5.7925223802001054E-3</v>
      </c>
      <c r="D302" t="s">
        <v>526</v>
      </c>
      <c r="E302" s="89">
        <f t="shared" si="9"/>
        <v>1.5427769985974754E-2</v>
      </c>
      <c r="F302" s="214">
        <v>32283</v>
      </c>
      <c r="G302" s="83">
        <v>2220</v>
      </c>
      <c r="H302" s="83">
        <v>2155</v>
      </c>
      <c r="I302" s="83">
        <v>2165</v>
      </c>
      <c r="J302" s="83">
        <v>2100</v>
      </c>
      <c r="K302" s="83">
        <v>2055</v>
      </c>
      <c r="L302" s="83">
        <v>21631000</v>
      </c>
      <c r="M302" s="103" t="s">
        <v>173</v>
      </c>
      <c r="N302" s="214">
        <v>32255</v>
      </c>
      <c r="O302" s="214">
        <v>32283</v>
      </c>
      <c r="P302" s="216">
        <v>33.200000000000003</v>
      </c>
      <c r="Q302" s="216">
        <v>32.9</v>
      </c>
      <c r="R302" s="216">
        <v>32.5</v>
      </c>
      <c r="S302" s="216">
        <v>32.1</v>
      </c>
      <c r="T302" s="216">
        <v>31.7</v>
      </c>
      <c r="U302" s="216">
        <v>31.3</v>
      </c>
      <c r="V302" s="216">
        <v>31</v>
      </c>
      <c r="W302" s="216">
        <v>30.8</v>
      </c>
      <c r="X302" s="216">
        <v>30.6</v>
      </c>
    </row>
    <row r="303" spans="1:24" x14ac:dyDescent="0.2">
      <c r="A303" t="s">
        <v>634</v>
      </c>
      <c r="B303" s="125" t="s">
        <v>216</v>
      </c>
      <c r="C303" s="89">
        <f t="shared" si="8"/>
        <v>2.6725940038633536E-3</v>
      </c>
      <c r="D303" t="s">
        <v>555</v>
      </c>
      <c r="E303" s="89">
        <f t="shared" si="9"/>
        <v>2.6081424936386769E-2</v>
      </c>
      <c r="F303" s="214">
        <v>16796</v>
      </c>
      <c r="G303" s="83">
        <v>1680</v>
      </c>
      <c r="H303" s="83">
        <v>1620</v>
      </c>
      <c r="I303" s="83">
        <v>1570</v>
      </c>
      <c r="J303" s="83">
        <v>1515</v>
      </c>
      <c r="K303" s="83">
        <v>1475</v>
      </c>
      <c r="L303" s="83">
        <v>-12057000</v>
      </c>
      <c r="M303" s="103" t="s">
        <v>216</v>
      </c>
      <c r="N303" s="214">
        <v>16694</v>
      </c>
      <c r="O303" s="214">
        <v>16796</v>
      </c>
      <c r="P303" s="216">
        <v>16.7</v>
      </c>
      <c r="Q303" s="216">
        <v>16.8</v>
      </c>
      <c r="R303" s="216">
        <v>16.899999999999999</v>
      </c>
      <c r="S303" s="216">
        <v>17</v>
      </c>
      <c r="T303" s="216">
        <v>17</v>
      </c>
      <c r="U303" s="216">
        <v>17</v>
      </c>
      <c r="V303" s="216">
        <v>17.100000000000001</v>
      </c>
      <c r="W303" s="216">
        <v>17.100000000000001</v>
      </c>
      <c r="X303" s="216">
        <v>17.2</v>
      </c>
    </row>
    <row r="304" spans="1:24" x14ac:dyDescent="0.2">
      <c r="A304" t="s">
        <v>630</v>
      </c>
      <c r="B304" s="125" t="s">
        <v>335</v>
      </c>
      <c r="C304" s="89">
        <f t="shared" si="8"/>
        <v>-1.3844023996308261E-3</v>
      </c>
      <c r="D304" t="s">
        <v>155</v>
      </c>
      <c r="E304" s="89">
        <f t="shared" si="9"/>
        <v>5.9084194977843431E-3</v>
      </c>
      <c r="F304" s="214">
        <v>21670</v>
      </c>
      <c r="G304" s="83">
        <v>1380</v>
      </c>
      <c r="H304" s="83">
        <v>1365</v>
      </c>
      <c r="I304" s="83">
        <v>1340</v>
      </c>
      <c r="J304" s="83">
        <v>1345</v>
      </c>
      <c r="K304" s="83">
        <v>1340</v>
      </c>
      <c r="L304" s="83">
        <v>33247000</v>
      </c>
      <c r="M304" s="103" t="s">
        <v>335</v>
      </c>
      <c r="N304" s="214">
        <v>21553</v>
      </c>
      <c r="O304" s="214">
        <v>21670</v>
      </c>
      <c r="P304" s="216">
        <v>21.6</v>
      </c>
      <c r="Q304" s="216">
        <v>21.6</v>
      </c>
      <c r="R304" s="216">
        <v>21.5</v>
      </c>
      <c r="S304" s="216">
        <v>21.5</v>
      </c>
      <c r="T304" s="216">
        <v>21.5</v>
      </c>
      <c r="U304" s="216">
        <v>21.4</v>
      </c>
      <c r="V304" s="216">
        <v>21.4</v>
      </c>
      <c r="W304" s="216">
        <v>21.4</v>
      </c>
      <c r="X304" s="216">
        <v>21.4</v>
      </c>
    </row>
    <row r="305" spans="1:24" x14ac:dyDescent="0.2">
      <c r="A305" t="s">
        <v>629</v>
      </c>
      <c r="B305" s="125" t="s">
        <v>466</v>
      </c>
      <c r="C305" s="89">
        <f t="shared" si="8"/>
        <v>-4.0926716996677499E-3</v>
      </c>
      <c r="D305" t="s">
        <v>155</v>
      </c>
      <c r="E305" s="89">
        <f t="shared" si="9"/>
        <v>1.2671059300557527E-2</v>
      </c>
      <c r="F305" s="214">
        <v>24814</v>
      </c>
      <c r="G305" s="83">
        <v>2030</v>
      </c>
      <c r="H305" s="83">
        <v>2025</v>
      </c>
      <c r="I305" s="83">
        <v>1980</v>
      </c>
      <c r="J305" s="83">
        <v>1925</v>
      </c>
      <c r="K305" s="83">
        <v>1905</v>
      </c>
      <c r="L305" s="83">
        <v>-9417000</v>
      </c>
      <c r="M305" s="103" t="s">
        <v>466</v>
      </c>
      <c r="N305" s="214">
        <v>23971</v>
      </c>
      <c r="O305" s="214">
        <v>24814</v>
      </c>
      <c r="P305" s="216">
        <v>23.9</v>
      </c>
      <c r="Q305" s="216">
        <v>24.1</v>
      </c>
      <c r="R305" s="216">
        <v>24.3</v>
      </c>
      <c r="S305" s="216">
        <v>24.3</v>
      </c>
      <c r="T305" s="216">
        <v>24.3</v>
      </c>
      <c r="U305" s="216">
        <v>24.2</v>
      </c>
      <c r="V305" s="216">
        <v>24.1</v>
      </c>
      <c r="W305" s="216">
        <v>24</v>
      </c>
      <c r="X305" s="216">
        <v>23.9</v>
      </c>
    </row>
    <row r="306" spans="1:24" x14ac:dyDescent="0.2">
      <c r="A306" t="s">
        <v>634</v>
      </c>
      <c r="B306" s="125" t="s">
        <v>217</v>
      </c>
      <c r="C306" s="89">
        <f t="shared" si="8"/>
        <v>-1.705808888482744E-3</v>
      </c>
      <c r="D306" t="s">
        <v>155</v>
      </c>
      <c r="E306" s="89">
        <f t="shared" si="9"/>
        <v>1.6619790334952696E-2</v>
      </c>
      <c r="F306" s="214">
        <v>43772</v>
      </c>
      <c r="G306" s="83">
        <v>4095</v>
      </c>
      <c r="H306" s="83">
        <v>4020</v>
      </c>
      <c r="I306" s="83">
        <v>3895</v>
      </c>
      <c r="J306" s="83">
        <v>3775</v>
      </c>
      <c r="K306" s="83">
        <v>3770</v>
      </c>
      <c r="L306" s="83">
        <v>24965000</v>
      </c>
      <c r="M306" s="103" t="s">
        <v>217</v>
      </c>
      <c r="N306" s="214">
        <v>43446</v>
      </c>
      <c r="O306" s="214">
        <v>43772</v>
      </c>
      <c r="P306" s="216">
        <v>43.3</v>
      </c>
      <c r="Q306" s="216">
        <v>43.3</v>
      </c>
      <c r="R306" s="216">
        <v>43.3</v>
      </c>
      <c r="S306" s="216">
        <v>43.3</v>
      </c>
      <c r="T306" s="216">
        <v>43.2</v>
      </c>
      <c r="U306" s="216">
        <v>43.2</v>
      </c>
      <c r="V306" s="216">
        <v>43.2</v>
      </c>
      <c r="W306" s="216">
        <v>43.2</v>
      </c>
      <c r="X306" s="216">
        <v>43.1</v>
      </c>
    </row>
    <row r="307" spans="1:24" x14ac:dyDescent="0.2">
      <c r="A307" t="s">
        <v>638</v>
      </c>
      <c r="B307" s="125" t="s">
        <v>504</v>
      </c>
      <c r="C307" s="89">
        <f t="shared" si="8"/>
        <v>-1.2762191895341133E-3</v>
      </c>
      <c r="D307" t="s">
        <v>155</v>
      </c>
      <c r="E307" s="89">
        <f t="shared" si="9"/>
        <v>1.5081967213114755E-2</v>
      </c>
      <c r="F307" s="214">
        <v>24987</v>
      </c>
      <c r="G307" s="83">
        <v>1565</v>
      </c>
      <c r="H307" s="83">
        <v>1590</v>
      </c>
      <c r="I307" s="83">
        <v>1535</v>
      </c>
      <c r="J307" s="83">
        <v>1485</v>
      </c>
      <c r="K307" s="83">
        <v>1450</v>
      </c>
      <c r="L307" s="83">
        <v>24522000</v>
      </c>
      <c r="M307" s="103" t="s">
        <v>504</v>
      </c>
      <c r="N307" s="214">
        <v>25065</v>
      </c>
      <c r="O307" s="214">
        <v>24987</v>
      </c>
      <c r="P307" s="216">
        <v>25.3</v>
      </c>
      <c r="Q307" s="216">
        <v>25.2</v>
      </c>
      <c r="R307" s="216">
        <v>25.1</v>
      </c>
      <c r="S307" s="216">
        <v>25</v>
      </c>
      <c r="T307" s="216">
        <v>24.9</v>
      </c>
      <c r="U307" s="216">
        <v>24.9</v>
      </c>
      <c r="V307" s="216">
        <v>24.8</v>
      </c>
      <c r="W307" s="216">
        <v>24.8</v>
      </c>
      <c r="X307" s="216">
        <v>24.7</v>
      </c>
    </row>
    <row r="308" spans="1:24" x14ac:dyDescent="0.2">
      <c r="A308" t="s">
        <v>636</v>
      </c>
      <c r="B308" s="125" t="s">
        <v>292</v>
      </c>
      <c r="C308" s="89">
        <f t="shared" si="8"/>
        <v>4.606311076671402E-3</v>
      </c>
      <c r="D308" t="s">
        <v>555</v>
      </c>
      <c r="E308" s="89">
        <f t="shared" si="9"/>
        <v>2.4104452628054905E-2</v>
      </c>
      <c r="F308" s="214">
        <v>64525</v>
      </c>
      <c r="G308" s="83">
        <v>6365</v>
      </c>
      <c r="H308" s="83">
        <v>6185</v>
      </c>
      <c r="I308" s="83">
        <v>5950</v>
      </c>
      <c r="J308" s="83">
        <v>5725</v>
      </c>
      <c r="K308" s="83">
        <v>5645</v>
      </c>
      <c r="L308" s="83">
        <v>61296000</v>
      </c>
      <c r="M308" s="103" t="s">
        <v>292</v>
      </c>
      <c r="N308" s="214">
        <v>64437</v>
      </c>
      <c r="O308" s="214">
        <v>64525</v>
      </c>
      <c r="P308" s="216">
        <v>65.2</v>
      </c>
      <c r="Q308" s="216">
        <v>65.599999999999994</v>
      </c>
      <c r="R308" s="216">
        <v>65.900000000000006</v>
      </c>
      <c r="S308" s="216">
        <v>66.2</v>
      </c>
      <c r="T308" s="216">
        <v>66.5</v>
      </c>
      <c r="U308" s="216">
        <v>66.8</v>
      </c>
      <c r="V308" s="216">
        <v>67</v>
      </c>
      <c r="W308" s="216">
        <v>67.099999999999994</v>
      </c>
      <c r="X308" s="216">
        <v>67.2</v>
      </c>
    </row>
    <row r="309" spans="1:24" x14ac:dyDescent="0.2">
      <c r="A309" t="s">
        <v>633</v>
      </c>
      <c r="B309" s="125" t="s">
        <v>390</v>
      </c>
      <c r="C309" s="89">
        <f t="shared" si="8"/>
        <v>3.8139981308883335E-3</v>
      </c>
      <c r="D309" t="s">
        <v>555</v>
      </c>
      <c r="E309" s="89">
        <f t="shared" si="9"/>
        <v>1.7441860465116279E-2</v>
      </c>
      <c r="F309" s="214">
        <v>8798</v>
      </c>
      <c r="G309" s="83">
        <v>900</v>
      </c>
      <c r="H309" s="83">
        <v>890</v>
      </c>
      <c r="I309" s="83">
        <v>850</v>
      </c>
      <c r="J309" s="83">
        <v>835</v>
      </c>
      <c r="K309" s="83">
        <v>825</v>
      </c>
      <c r="L309" s="83">
        <v>3268000</v>
      </c>
      <c r="M309" s="103" t="s">
        <v>390</v>
      </c>
      <c r="N309" s="214">
        <v>8783</v>
      </c>
      <c r="O309" s="214">
        <v>8798</v>
      </c>
      <c r="P309" s="216">
        <v>8.9</v>
      </c>
      <c r="Q309" s="216">
        <v>8.9</v>
      </c>
      <c r="R309" s="216">
        <v>9</v>
      </c>
      <c r="S309" s="216">
        <v>9</v>
      </c>
      <c r="T309" s="216">
        <v>9.1</v>
      </c>
      <c r="U309" s="216">
        <v>9</v>
      </c>
      <c r="V309" s="216">
        <v>9.1</v>
      </c>
      <c r="W309" s="216">
        <v>9.1</v>
      </c>
      <c r="X309" s="216">
        <v>9.1</v>
      </c>
    </row>
    <row r="310" spans="1:24" x14ac:dyDescent="0.2">
      <c r="A310" t="s">
        <v>632</v>
      </c>
      <c r="B310" s="125" t="s">
        <v>525</v>
      </c>
      <c r="C310" s="89">
        <f t="shared" si="8"/>
        <v>-5.6066752415817416E-4</v>
      </c>
      <c r="D310" t="s">
        <v>155</v>
      </c>
      <c r="E310" s="89">
        <f t="shared" si="9"/>
        <v>1.4403292181069959E-2</v>
      </c>
      <c r="F310" s="214">
        <v>84225</v>
      </c>
      <c r="G310" s="83">
        <v>8060</v>
      </c>
      <c r="H310" s="83">
        <v>7980</v>
      </c>
      <c r="I310" s="83">
        <v>7800</v>
      </c>
      <c r="J310" s="83">
        <v>7540</v>
      </c>
      <c r="K310" s="83">
        <v>7500</v>
      </c>
      <c r="L310" s="83">
        <v>146995754.38596493</v>
      </c>
      <c r="M310" s="103" t="s">
        <v>525</v>
      </c>
      <c r="N310" s="214">
        <v>84167</v>
      </c>
      <c r="O310" s="214">
        <v>84225</v>
      </c>
      <c r="P310" s="216">
        <v>83.6</v>
      </c>
      <c r="Q310" s="216">
        <v>83.4</v>
      </c>
      <c r="R310" s="216">
        <v>83.3</v>
      </c>
      <c r="S310" s="216">
        <v>83.3</v>
      </c>
      <c r="T310" s="216">
        <v>83.4</v>
      </c>
      <c r="U310" s="216">
        <v>83.5</v>
      </c>
      <c r="V310" s="216">
        <v>83.6</v>
      </c>
      <c r="W310" s="216">
        <v>83.7</v>
      </c>
      <c r="X310" s="216">
        <v>83.8</v>
      </c>
    </row>
    <row r="311" spans="1:24" x14ac:dyDescent="0.2">
      <c r="A311" t="s">
        <v>637</v>
      </c>
      <c r="B311" s="125" t="s">
        <v>174</v>
      </c>
      <c r="C311" s="89">
        <f t="shared" si="8"/>
        <v>3.2321014757897308E-3</v>
      </c>
      <c r="D311" t="s">
        <v>555</v>
      </c>
      <c r="E311" s="89">
        <f t="shared" si="9"/>
        <v>1.6666666666666666E-2</v>
      </c>
      <c r="F311" s="214">
        <v>7288</v>
      </c>
      <c r="G311" s="83">
        <v>560</v>
      </c>
      <c r="H311" s="83">
        <v>555</v>
      </c>
      <c r="I311" s="83">
        <v>535</v>
      </c>
      <c r="J311" s="83">
        <v>535</v>
      </c>
      <c r="K311" s="83">
        <v>515</v>
      </c>
      <c r="L311" s="83">
        <v>30459000</v>
      </c>
      <c r="M311" s="103" t="s">
        <v>174</v>
      </c>
      <c r="N311" s="214">
        <v>7283</v>
      </c>
      <c r="O311" s="214">
        <v>7288</v>
      </c>
      <c r="P311" s="216">
        <v>7.5</v>
      </c>
      <c r="Q311" s="216">
        <v>7.5</v>
      </c>
      <c r="R311" s="216">
        <v>7.5</v>
      </c>
      <c r="S311" s="216">
        <v>7.5</v>
      </c>
      <c r="T311" s="216">
        <v>7.5</v>
      </c>
      <c r="U311" s="216">
        <v>7.5</v>
      </c>
      <c r="V311" s="216">
        <v>7.5</v>
      </c>
      <c r="W311" s="216">
        <v>7.5</v>
      </c>
      <c r="X311" s="216">
        <v>7.5</v>
      </c>
    </row>
    <row r="312" spans="1:24" x14ac:dyDescent="0.2">
      <c r="A312" t="s">
        <v>640</v>
      </c>
      <c r="B312" s="125" t="s">
        <v>412</v>
      </c>
      <c r="C312" s="89">
        <f t="shared" si="8"/>
        <v>-8.9803249244836312E-4</v>
      </c>
      <c r="D312" t="s">
        <v>155</v>
      </c>
      <c r="E312" s="89">
        <f t="shared" si="9"/>
        <v>1.5855039637599093E-2</v>
      </c>
      <c r="F312" s="214">
        <v>54440</v>
      </c>
      <c r="G312" s="83">
        <v>3680</v>
      </c>
      <c r="H312" s="83">
        <v>3610</v>
      </c>
      <c r="I312" s="83">
        <v>3515</v>
      </c>
      <c r="J312" s="83">
        <v>3455</v>
      </c>
      <c r="K312" s="83">
        <v>3400</v>
      </c>
      <c r="L312" s="83">
        <v>169888000</v>
      </c>
      <c r="M312" s="103" t="s">
        <v>412</v>
      </c>
      <c r="N312" s="214">
        <v>54592</v>
      </c>
      <c r="O312" s="214">
        <v>54440</v>
      </c>
      <c r="P312" s="216">
        <v>55</v>
      </c>
      <c r="Q312" s="216">
        <v>55</v>
      </c>
      <c r="R312" s="216">
        <v>54.9</v>
      </c>
      <c r="S312" s="216">
        <v>54.8</v>
      </c>
      <c r="T312" s="216">
        <v>54.7</v>
      </c>
      <c r="U312" s="216">
        <v>54.5</v>
      </c>
      <c r="V312" s="216">
        <v>54.4</v>
      </c>
      <c r="W312" s="216">
        <v>54.2</v>
      </c>
      <c r="X312" s="216">
        <v>54</v>
      </c>
    </row>
    <row r="313" spans="1:24" x14ac:dyDescent="0.2">
      <c r="A313" t="s">
        <v>632</v>
      </c>
      <c r="B313" s="125" t="s">
        <v>195</v>
      </c>
      <c r="C313" s="89">
        <f t="shared" si="8"/>
        <v>-4.7088653445621657E-3</v>
      </c>
      <c r="D313" t="s">
        <v>155</v>
      </c>
      <c r="E313" s="89">
        <f t="shared" si="9"/>
        <v>1.9696969696969695E-2</v>
      </c>
      <c r="F313" s="214">
        <v>4908</v>
      </c>
      <c r="G313" s="83">
        <v>685</v>
      </c>
      <c r="H313" s="83">
        <v>685</v>
      </c>
      <c r="I313" s="83">
        <v>670</v>
      </c>
      <c r="J313" s="83">
        <v>640</v>
      </c>
      <c r="K313" s="83">
        <v>620</v>
      </c>
      <c r="L313" s="83">
        <v>7647000</v>
      </c>
      <c r="M313" s="103" t="s">
        <v>195</v>
      </c>
      <c r="N313" s="214">
        <v>4858</v>
      </c>
      <c r="O313" s="214">
        <v>4908</v>
      </c>
      <c r="P313" s="216">
        <v>4.8</v>
      </c>
      <c r="Q313" s="216">
        <v>4.8</v>
      </c>
      <c r="R313" s="216">
        <v>4.8</v>
      </c>
      <c r="S313" s="216">
        <v>4.8</v>
      </c>
      <c r="T313" s="216">
        <v>4.8</v>
      </c>
      <c r="U313" s="216">
        <v>4.7</v>
      </c>
      <c r="V313" s="216">
        <v>4.7</v>
      </c>
      <c r="W313" s="216">
        <v>4.7</v>
      </c>
      <c r="X313" s="216">
        <v>4.7</v>
      </c>
    </row>
    <row r="314" spans="1:24" x14ac:dyDescent="0.2">
      <c r="A314" t="s">
        <v>630</v>
      </c>
      <c r="B314" s="125" t="s">
        <v>336</v>
      </c>
      <c r="C314" s="89">
        <f t="shared" si="8"/>
        <v>-3.1330012188438162E-3</v>
      </c>
      <c r="D314" t="s">
        <v>155</v>
      </c>
      <c r="E314" s="89">
        <f t="shared" si="9"/>
        <v>1.9321148825065273E-2</v>
      </c>
      <c r="F314" s="214">
        <v>13583</v>
      </c>
      <c r="G314" s="83">
        <v>2005</v>
      </c>
      <c r="H314" s="83">
        <v>1980</v>
      </c>
      <c r="I314" s="83">
        <v>1915</v>
      </c>
      <c r="J314" s="83">
        <v>1855</v>
      </c>
      <c r="K314" s="83">
        <v>1820</v>
      </c>
      <c r="L314" s="83">
        <v>29813000</v>
      </c>
      <c r="M314" s="103" t="s">
        <v>336</v>
      </c>
      <c r="N314" s="214">
        <v>13544</v>
      </c>
      <c r="O314" s="214">
        <v>13583</v>
      </c>
      <c r="P314" s="216">
        <v>13.6</v>
      </c>
      <c r="Q314" s="216">
        <v>13.5</v>
      </c>
      <c r="R314" s="216">
        <v>13.5</v>
      </c>
      <c r="S314" s="216">
        <v>13.5</v>
      </c>
      <c r="T314" s="216">
        <v>13.5</v>
      </c>
      <c r="U314" s="216">
        <v>13.4</v>
      </c>
      <c r="V314" s="216">
        <v>13.4</v>
      </c>
      <c r="W314" s="216">
        <v>13.3</v>
      </c>
      <c r="X314" s="216">
        <v>13.2</v>
      </c>
    </row>
    <row r="315" spans="1:24" x14ac:dyDescent="0.2">
      <c r="A315" t="s">
        <v>633</v>
      </c>
      <c r="B315" s="125" t="s">
        <v>391</v>
      </c>
      <c r="C315" s="89">
        <f t="shared" si="8"/>
        <v>3.0967083811501539E-4</v>
      </c>
      <c r="D315" t="s">
        <v>555</v>
      </c>
      <c r="E315" s="89">
        <f t="shared" si="9"/>
        <v>2.0840450973693202E-2</v>
      </c>
      <c r="F315" s="214">
        <v>36598</v>
      </c>
      <c r="G315" s="83">
        <v>3090</v>
      </c>
      <c r="H315" s="83">
        <v>3045</v>
      </c>
      <c r="I315" s="83">
        <v>2910</v>
      </c>
      <c r="J315" s="83">
        <v>2805</v>
      </c>
      <c r="K315" s="83">
        <v>2785</v>
      </c>
      <c r="L315" s="83">
        <v>-25151000</v>
      </c>
      <c r="M315" s="103" t="s">
        <v>391</v>
      </c>
      <c r="N315" s="214">
        <v>36092</v>
      </c>
      <c r="O315" s="214">
        <v>36598</v>
      </c>
      <c r="P315" s="216">
        <v>36.299999999999997</v>
      </c>
      <c r="Q315" s="216">
        <v>36.4</v>
      </c>
      <c r="R315" s="216">
        <v>36.4</v>
      </c>
      <c r="S315" s="216">
        <v>36.5</v>
      </c>
      <c r="T315" s="216">
        <v>36.5</v>
      </c>
      <c r="U315" s="216">
        <v>36.6</v>
      </c>
      <c r="V315" s="216">
        <v>36.6</v>
      </c>
      <c r="W315" s="216">
        <v>36.700000000000003</v>
      </c>
      <c r="X315" s="216">
        <v>36.700000000000003</v>
      </c>
    </row>
    <row r="316" spans="1:24" x14ac:dyDescent="0.2">
      <c r="A316" t="s">
        <v>640</v>
      </c>
      <c r="B316" s="125" t="s">
        <v>413</v>
      </c>
      <c r="C316" s="89">
        <f t="shared" si="8"/>
        <v>-2.5532801834193108E-3</v>
      </c>
      <c r="D316" t="s">
        <v>555</v>
      </c>
      <c r="E316" s="89">
        <f t="shared" si="9"/>
        <v>1.6714422158548233E-2</v>
      </c>
      <c r="F316" s="214">
        <v>25588</v>
      </c>
      <c r="G316" s="83">
        <v>2200</v>
      </c>
      <c r="H316" s="83">
        <v>2150</v>
      </c>
      <c r="I316" s="83">
        <v>2085</v>
      </c>
      <c r="J316" s="83">
        <v>2010</v>
      </c>
      <c r="K316" s="83">
        <v>2025</v>
      </c>
      <c r="L316" s="83">
        <v>43858000</v>
      </c>
      <c r="M316" s="103" t="s">
        <v>413</v>
      </c>
      <c r="N316" s="214">
        <v>25526</v>
      </c>
      <c r="O316" s="214">
        <v>25588</v>
      </c>
      <c r="P316" s="216">
        <v>25.1</v>
      </c>
      <c r="Q316" s="216">
        <v>25.1</v>
      </c>
      <c r="R316" s="216">
        <v>25.1</v>
      </c>
      <c r="S316" s="216">
        <v>25.1</v>
      </c>
      <c r="T316" s="216">
        <v>25.1</v>
      </c>
      <c r="U316" s="216">
        <v>25.1</v>
      </c>
      <c r="V316" s="216">
        <v>25</v>
      </c>
      <c r="W316" s="216">
        <v>25</v>
      </c>
      <c r="X316" s="216">
        <v>25</v>
      </c>
    </row>
    <row r="317" spans="1:24" x14ac:dyDescent="0.2">
      <c r="A317" t="s">
        <v>631</v>
      </c>
      <c r="B317" s="125" t="s">
        <v>266</v>
      </c>
      <c r="C317" s="89">
        <f t="shared" si="8"/>
        <v>3.5099847007537087E-4</v>
      </c>
      <c r="D317" t="s">
        <v>526</v>
      </c>
      <c r="E317" s="89">
        <f t="shared" si="9"/>
        <v>1.40485312899106E-2</v>
      </c>
      <c r="F317" s="214">
        <v>41469</v>
      </c>
      <c r="G317" s="83">
        <v>3240</v>
      </c>
      <c r="H317" s="83">
        <v>3220</v>
      </c>
      <c r="I317" s="83">
        <v>3150</v>
      </c>
      <c r="J317" s="83">
        <v>3030</v>
      </c>
      <c r="K317" s="83">
        <v>3020</v>
      </c>
      <c r="L317" s="83">
        <v>50534000</v>
      </c>
      <c r="M317" s="103" t="s">
        <v>266</v>
      </c>
      <c r="N317" s="214">
        <v>41491</v>
      </c>
      <c r="O317" s="214">
        <v>41469</v>
      </c>
      <c r="P317" s="216">
        <v>41.2</v>
      </c>
      <c r="Q317" s="216">
        <v>41.3</v>
      </c>
      <c r="R317" s="216">
        <v>41.3</v>
      </c>
      <c r="S317" s="216">
        <v>41.4</v>
      </c>
      <c r="T317" s="216">
        <v>41.5</v>
      </c>
      <c r="U317" s="216">
        <v>41.5</v>
      </c>
      <c r="V317" s="216">
        <v>41.5</v>
      </c>
      <c r="W317" s="216">
        <v>41.6</v>
      </c>
      <c r="X317" s="216">
        <v>41.6</v>
      </c>
    </row>
    <row r="318" spans="1:24" x14ac:dyDescent="0.2">
      <c r="A318" t="s">
        <v>629</v>
      </c>
      <c r="B318" s="125" t="s">
        <v>467</v>
      </c>
      <c r="C318" s="89">
        <f t="shared" si="8"/>
        <v>8.8984319405733762E-3</v>
      </c>
      <c r="D318" t="s">
        <v>526</v>
      </c>
      <c r="E318" s="89">
        <f t="shared" si="9"/>
        <v>1.8120270808442852E-2</v>
      </c>
      <c r="F318" s="214">
        <v>215631</v>
      </c>
      <c r="G318" s="83">
        <v>15695</v>
      </c>
      <c r="H318" s="83">
        <v>15525</v>
      </c>
      <c r="I318" s="83">
        <v>15185</v>
      </c>
      <c r="J318" s="83">
        <v>14595</v>
      </c>
      <c r="K318" s="83">
        <v>14330</v>
      </c>
      <c r="L318" s="83">
        <v>-30836000</v>
      </c>
      <c r="M318" s="103" t="s">
        <v>467</v>
      </c>
      <c r="N318" s="214">
        <v>213840</v>
      </c>
      <c r="O318" s="214">
        <v>215631</v>
      </c>
      <c r="P318" s="216">
        <v>218.3</v>
      </c>
      <c r="Q318" s="216">
        <v>220.4</v>
      </c>
      <c r="R318" s="216">
        <v>222.6</v>
      </c>
      <c r="S318" s="216">
        <v>224.7</v>
      </c>
      <c r="T318" s="216">
        <v>226.6</v>
      </c>
      <c r="U318" s="216">
        <v>228.4</v>
      </c>
      <c r="V318" s="216">
        <v>230.1</v>
      </c>
      <c r="W318" s="216">
        <v>231.5</v>
      </c>
      <c r="X318" s="216">
        <v>232.9</v>
      </c>
    </row>
    <row r="319" spans="1:24" x14ac:dyDescent="0.2">
      <c r="A319" t="s">
        <v>634</v>
      </c>
      <c r="B319" s="125" t="s">
        <v>218</v>
      </c>
      <c r="C319" s="89">
        <f t="shared" si="8"/>
        <v>-4.7972180325121499E-3</v>
      </c>
      <c r="D319" t="s">
        <v>555</v>
      </c>
      <c r="E319" s="89">
        <f t="shared" si="9"/>
        <v>1.945137157107232E-2</v>
      </c>
      <c r="F319" s="214">
        <v>21216</v>
      </c>
      <c r="G319" s="83">
        <v>2115</v>
      </c>
      <c r="H319" s="83">
        <v>2055</v>
      </c>
      <c r="I319" s="83">
        <v>1985</v>
      </c>
      <c r="J319" s="83">
        <v>1950</v>
      </c>
      <c r="K319" s="83">
        <v>1920</v>
      </c>
      <c r="L319" s="83">
        <v>6784000</v>
      </c>
      <c r="M319" s="103" t="s">
        <v>218</v>
      </c>
      <c r="N319" s="214">
        <v>21152</v>
      </c>
      <c r="O319" s="214">
        <v>21216</v>
      </c>
      <c r="P319" s="216">
        <v>21</v>
      </c>
      <c r="Q319" s="216">
        <v>20.9</v>
      </c>
      <c r="R319" s="216">
        <v>20.8</v>
      </c>
      <c r="S319" s="216">
        <v>20.8</v>
      </c>
      <c r="T319" s="216">
        <v>20.7</v>
      </c>
      <c r="U319" s="216">
        <v>20.6</v>
      </c>
      <c r="V319" s="216">
        <v>20.5</v>
      </c>
      <c r="W319" s="216">
        <v>20.399999999999999</v>
      </c>
      <c r="X319" s="216">
        <v>20.3</v>
      </c>
    </row>
    <row r="320" spans="1:24" x14ac:dyDescent="0.2">
      <c r="A320" t="s">
        <v>634</v>
      </c>
      <c r="B320" s="125" t="s">
        <v>219</v>
      </c>
      <c r="C320" s="89">
        <f t="shared" si="8"/>
        <v>-4.2766553605662885E-3</v>
      </c>
      <c r="D320" t="s">
        <v>155</v>
      </c>
      <c r="E320" s="89">
        <f t="shared" si="9"/>
        <v>2.1123785382340516E-2</v>
      </c>
      <c r="F320" s="214">
        <v>33905</v>
      </c>
      <c r="G320" s="83">
        <v>2470</v>
      </c>
      <c r="H320" s="83">
        <v>2455</v>
      </c>
      <c r="I320" s="83">
        <v>2410</v>
      </c>
      <c r="J320" s="83">
        <v>2280</v>
      </c>
      <c r="K320" s="83">
        <v>2220</v>
      </c>
      <c r="L320" s="83">
        <v>22839000</v>
      </c>
      <c r="M320" s="103" t="s">
        <v>219</v>
      </c>
      <c r="N320" s="214">
        <v>33843</v>
      </c>
      <c r="O320" s="214">
        <v>33905</v>
      </c>
      <c r="P320" s="216">
        <v>33.700000000000003</v>
      </c>
      <c r="Q320" s="216">
        <v>33.4</v>
      </c>
      <c r="R320" s="216">
        <v>33.299999999999997</v>
      </c>
      <c r="S320" s="216">
        <v>33.200000000000003</v>
      </c>
      <c r="T320" s="216">
        <v>33.1</v>
      </c>
      <c r="U320" s="216">
        <v>32.9</v>
      </c>
      <c r="V320" s="216">
        <v>32.799999999999997</v>
      </c>
      <c r="W320" s="216">
        <v>32.799999999999997</v>
      </c>
      <c r="X320" s="216">
        <v>32.6</v>
      </c>
    </row>
    <row r="321" spans="1:24" x14ac:dyDescent="0.2">
      <c r="A321" t="s">
        <v>628</v>
      </c>
      <c r="B321" s="125" t="s">
        <v>152</v>
      </c>
      <c r="C321" s="89">
        <f t="shared" si="8"/>
        <v>-3.2040108239122138E-3</v>
      </c>
      <c r="D321" t="s">
        <v>555</v>
      </c>
      <c r="E321" s="89">
        <f t="shared" si="9"/>
        <v>3.090687271248475E-2</v>
      </c>
      <c r="F321" s="214">
        <v>33465</v>
      </c>
      <c r="G321" s="83">
        <v>2655</v>
      </c>
      <c r="H321" s="83">
        <v>2560</v>
      </c>
      <c r="I321" s="83">
        <v>2445</v>
      </c>
      <c r="J321" s="83">
        <v>2360</v>
      </c>
      <c r="K321" s="83">
        <v>2275</v>
      </c>
      <c r="L321" s="83">
        <v>56243000</v>
      </c>
      <c r="M321" s="103" t="s">
        <v>152</v>
      </c>
      <c r="N321" s="214">
        <v>33280</v>
      </c>
      <c r="O321" s="214">
        <v>33465</v>
      </c>
      <c r="P321" s="216">
        <v>33.1</v>
      </c>
      <c r="Q321" s="216">
        <v>33.1</v>
      </c>
      <c r="R321" s="216">
        <v>32.9</v>
      </c>
      <c r="S321" s="216">
        <v>32.799999999999997</v>
      </c>
      <c r="T321" s="216">
        <v>32.700000000000003</v>
      </c>
      <c r="U321" s="216">
        <v>32.5</v>
      </c>
      <c r="V321" s="216">
        <v>32.5</v>
      </c>
      <c r="W321" s="216">
        <v>32.5</v>
      </c>
      <c r="X321" s="216">
        <v>32.5</v>
      </c>
    </row>
    <row r="322" spans="1:24" x14ac:dyDescent="0.2">
      <c r="A322" t="s">
        <v>632</v>
      </c>
      <c r="B322" s="125" t="s">
        <v>196</v>
      </c>
      <c r="C322" s="89">
        <f t="shared" si="8"/>
        <v>7.3193429321287792E-5</v>
      </c>
      <c r="D322" t="s">
        <v>155</v>
      </c>
      <c r="E322" s="89">
        <f t="shared" si="9"/>
        <v>1.9885108263367212E-2</v>
      </c>
      <c r="F322" s="214">
        <v>31879</v>
      </c>
      <c r="G322" s="83">
        <v>2370</v>
      </c>
      <c r="H322" s="83">
        <v>2360</v>
      </c>
      <c r="I322" s="83">
        <v>2255</v>
      </c>
      <c r="J322" s="83">
        <v>2185</v>
      </c>
      <c r="K322" s="83">
        <v>2145</v>
      </c>
      <c r="L322" s="83">
        <v>29358000</v>
      </c>
      <c r="M322" s="103" t="s">
        <v>196</v>
      </c>
      <c r="N322" s="214">
        <v>31980</v>
      </c>
      <c r="O322" s="214">
        <v>31879</v>
      </c>
      <c r="P322" s="216">
        <v>32.200000000000003</v>
      </c>
      <c r="Q322" s="216">
        <v>32.200000000000003</v>
      </c>
      <c r="R322" s="216">
        <v>32.1</v>
      </c>
      <c r="S322" s="216">
        <v>32</v>
      </c>
      <c r="T322" s="216">
        <v>32</v>
      </c>
      <c r="U322" s="216">
        <v>32</v>
      </c>
      <c r="V322" s="216">
        <v>31.9</v>
      </c>
      <c r="W322" s="216">
        <v>31.9</v>
      </c>
      <c r="X322" s="216">
        <v>31.9</v>
      </c>
    </row>
    <row r="323" spans="1:24" x14ac:dyDescent="0.2">
      <c r="A323" t="s">
        <v>629</v>
      </c>
      <c r="B323" s="125" t="s">
        <v>468</v>
      </c>
      <c r="C323" s="89">
        <f t="shared" ref="C323:C386" si="10">(SUM(X323*1000,-O323)/9)/O323</f>
        <v>2.3110429513189985E-3</v>
      </c>
      <c r="D323" t="s">
        <v>155</v>
      </c>
      <c r="E323" s="89">
        <f t="shared" ref="E323:E386" si="11">SUM(G323,-K323)/SUM(G323,H323,I323,J323,K323)</f>
        <v>1.8015665796344647E-2</v>
      </c>
      <c r="F323" s="214">
        <v>41732</v>
      </c>
      <c r="G323" s="83">
        <v>4020</v>
      </c>
      <c r="H323" s="83">
        <v>3920</v>
      </c>
      <c r="I323" s="83">
        <v>3825</v>
      </c>
      <c r="J323" s="83">
        <v>3710</v>
      </c>
      <c r="K323" s="83">
        <v>3675</v>
      </c>
      <c r="L323" s="83">
        <v>67951000</v>
      </c>
      <c r="M323" s="103" t="s">
        <v>468</v>
      </c>
      <c r="N323" s="214">
        <v>41387</v>
      </c>
      <c r="O323" s="214">
        <v>41732</v>
      </c>
      <c r="P323" s="216">
        <v>41.8</v>
      </c>
      <c r="Q323" s="216">
        <v>42.2</v>
      </c>
      <c r="R323" s="216">
        <v>42.4</v>
      </c>
      <c r="S323" s="216">
        <v>42.5</v>
      </c>
      <c r="T323" s="216">
        <v>42.5</v>
      </c>
      <c r="U323" s="216">
        <v>42.5</v>
      </c>
      <c r="V323" s="216">
        <v>42.5</v>
      </c>
      <c r="W323" s="216">
        <v>42.5</v>
      </c>
      <c r="X323" s="216">
        <v>42.6</v>
      </c>
    </row>
    <row r="324" spans="1:24" x14ac:dyDescent="0.2">
      <c r="A324" t="s">
        <v>630</v>
      </c>
      <c r="B324" s="125" t="s">
        <v>337</v>
      </c>
      <c r="C324" s="89">
        <f t="shared" si="10"/>
        <v>7.179588282649055E-3</v>
      </c>
      <c r="D324" t="s">
        <v>555</v>
      </c>
      <c r="E324" s="89">
        <f t="shared" si="11"/>
        <v>2.7613412228796843E-2</v>
      </c>
      <c r="F324" s="214">
        <v>13526</v>
      </c>
      <c r="G324" s="83">
        <v>1090</v>
      </c>
      <c r="H324" s="83">
        <v>1045</v>
      </c>
      <c r="I324" s="83">
        <v>1000</v>
      </c>
      <c r="J324" s="83">
        <v>985</v>
      </c>
      <c r="K324" s="83">
        <v>950</v>
      </c>
      <c r="L324" s="83">
        <v>4045000</v>
      </c>
      <c r="M324" s="103" t="s">
        <v>337</v>
      </c>
      <c r="N324" s="214">
        <v>13470</v>
      </c>
      <c r="O324" s="214">
        <v>13526</v>
      </c>
      <c r="P324" s="216">
        <v>13.9</v>
      </c>
      <c r="Q324" s="216">
        <v>14.1</v>
      </c>
      <c r="R324" s="216">
        <v>14.3</v>
      </c>
      <c r="S324" s="216">
        <v>14.3</v>
      </c>
      <c r="T324" s="216">
        <v>14.4</v>
      </c>
      <c r="U324" s="216">
        <v>14.3</v>
      </c>
      <c r="V324" s="216">
        <v>14.3</v>
      </c>
      <c r="W324" s="216">
        <v>14.4</v>
      </c>
      <c r="X324" s="216">
        <v>14.4</v>
      </c>
    </row>
    <row r="325" spans="1:24" x14ac:dyDescent="0.2">
      <c r="A325" t="s">
        <v>630</v>
      </c>
      <c r="B325" s="125" t="s">
        <v>338</v>
      </c>
      <c r="C325" s="89">
        <f t="shared" si="10"/>
        <v>3.6816765788728403E-3</v>
      </c>
      <c r="D325" t="s">
        <v>555</v>
      </c>
      <c r="E325" s="89">
        <f t="shared" si="11"/>
        <v>2.0367412140575081E-2</v>
      </c>
      <c r="F325" s="214">
        <v>29425</v>
      </c>
      <c r="G325" s="83">
        <v>2625</v>
      </c>
      <c r="H325" s="83">
        <v>2575</v>
      </c>
      <c r="I325" s="83">
        <v>2495</v>
      </c>
      <c r="J325" s="83">
        <v>2455</v>
      </c>
      <c r="K325" s="83">
        <v>2370</v>
      </c>
      <c r="L325" s="83">
        <v>42195000</v>
      </c>
      <c r="M325" s="103" t="s">
        <v>338</v>
      </c>
      <c r="N325" s="214">
        <v>29201</v>
      </c>
      <c r="O325" s="214">
        <v>29425</v>
      </c>
      <c r="P325" s="216">
        <v>29.6</v>
      </c>
      <c r="Q325" s="216">
        <v>29.8</v>
      </c>
      <c r="R325" s="216">
        <v>29.9</v>
      </c>
      <c r="S325" s="216">
        <v>30</v>
      </c>
      <c r="T325" s="216">
        <v>30.1</v>
      </c>
      <c r="U325" s="216">
        <v>30.1</v>
      </c>
      <c r="V325" s="216">
        <v>30.2</v>
      </c>
      <c r="W325" s="216">
        <v>30.3</v>
      </c>
      <c r="X325" s="216">
        <v>30.4</v>
      </c>
    </row>
    <row r="326" spans="1:24" x14ac:dyDescent="0.2">
      <c r="A326" t="s">
        <v>635</v>
      </c>
      <c r="B326" s="125" t="s">
        <v>515</v>
      </c>
      <c r="C326" s="89">
        <f t="shared" si="10"/>
        <v>9.0792444249541172E-3</v>
      </c>
      <c r="D326" t="s">
        <v>155</v>
      </c>
      <c r="E326" s="89">
        <f t="shared" si="11"/>
        <v>2.8628495339547269E-2</v>
      </c>
      <c r="F326" s="214">
        <v>20523</v>
      </c>
      <c r="G326" s="83">
        <v>1610</v>
      </c>
      <c r="H326" s="83">
        <v>1570</v>
      </c>
      <c r="I326" s="83">
        <v>1490</v>
      </c>
      <c r="J326" s="83">
        <v>1445</v>
      </c>
      <c r="K326" s="83">
        <v>1395</v>
      </c>
      <c r="L326" s="83">
        <v>36096000</v>
      </c>
      <c r="M326" s="103" t="s">
        <v>515</v>
      </c>
      <c r="N326" s="214">
        <v>20220</v>
      </c>
      <c r="O326" s="214">
        <v>20523</v>
      </c>
      <c r="P326" s="216">
        <v>20.399999999999999</v>
      </c>
      <c r="Q326" s="216">
        <v>20.7</v>
      </c>
      <c r="R326" s="216">
        <v>20.9</v>
      </c>
      <c r="S326" s="216">
        <v>21.1</v>
      </c>
      <c r="T326" s="216">
        <v>21.3</v>
      </c>
      <c r="U326" s="216">
        <v>21.5</v>
      </c>
      <c r="V326" s="216">
        <v>21.7</v>
      </c>
      <c r="W326" s="216">
        <v>21.9</v>
      </c>
      <c r="X326" s="216">
        <v>22.2</v>
      </c>
    </row>
    <row r="327" spans="1:24" x14ac:dyDescent="0.2">
      <c r="A327" t="s">
        <v>636</v>
      </c>
      <c r="B327" s="125" t="s">
        <v>293</v>
      </c>
      <c r="C327" s="89">
        <f t="shared" si="10"/>
        <v>1.3324023078688916E-2</v>
      </c>
      <c r="D327" t="s">
        <v>526</v>
      </c>
      <c r="E327" s="89">
        <f t="shared" si="11"/>
        <v>3.4547943419594551E-2</v>
      </c>
      <c r="F327" s="214">
        <v>347526</v>
      </c>
      <c r="G327" s="83">
        <v>33420</v>
      </c>
      <c r="H327" s="83">
        <v>32250</v>
      </c>
      <c r="I327" s="83">
        <v>30715</v>
      </c>
      <c r="J327" s="83">
        <v>28905</v>
      </c>
      <c r="K327" s="83">
        <v>28120</v>
      </c>
      <c r="L327" s="83">
        <v>344777000</v>
      </c>
      <c r="M327" s="103" t="s">
        <v>293</v>
      </c>
      <c r="N327" s="214">
        <v>343086</v>
      </c>
      <c r="O327" s="214">
        <v>347526</v>
      </c>
      <c r="P327" s="216">
        <v>349.8</v>
      </c>
      <c r="Q327" s="216">
        <v>355.4</v>
      </c>
      <c r="R327" s="216">
        <v>360.7</v>
      </c>
      <c r="S327" s="216">
        <v>366</v>
      </c>
      <c r="T327" s="216">
        <v>370.9</v>
      </c>
      <c r="U327" s="216">
        <v>375.8</v>
      </c>
      <c r="V327" s="216">
        <v>380.3</v>
      </c>
      <c r="W327" s="216">
        <v>384.7</v>
      </c>
      <c r="X327" s="216">
        <v>389.2</v>
      </c>
    </row>
    <row r="328" spans="1:24" x14ac:dyDescent="0.2">
      <c r="A328" t="s">
        <v>636</v>
      </c>
      <c r="B328" s="125" t="s">
        <v>294</v>
      </c>
      <c r="C328" s="89">
        <f t="shared" si="10"/>
        <v>5.0894023330180609E-3</v>
      </c>
      <c r="D328" t="s">
        <v>555</v>
      </c>
      <c r="E328" s="89">
        <f t="shared" si="11"/>
        <v>1.9315013938669853E-2</v>
      </c>
      <c r="F328" s="214">
        <v>49340</v>
      </c>
      <c r="G328" s="83">
        <v>5285</v>
      </c>
      <c r="H328" s="83">
        <v>5180</v>
      </c>
      <c r="I328" s="83">
        <v>4995</v>
      </c>
      <c r="J328" s="83">
        <v>4850</v>
      </c>
      <c r="K328" s="83">
        <v>4800</v>
      </c>
      <c r="L328" s="83">
        <v>92000000</v>
      </c>
      <c r="M328" s="103" t="s">
        <v>294</v>
      </c>
      <c r="N328" s="214">
        <v>49013</v>
      </c>
      <c r="O328" s="214">
        <v>49340</v>
      </c>
      <c r="P328" s="216">
        <v>50.2</v>
      </c>
      <c r="Q328" s="216">
        <v>50.4</v>
      </c>
      <c r="R328" s="216">
        <v>50.6</v>
      </c>
      <c r="S328" s="216">
        <v>50.8</v>
      </c>
      <c r="T328" s="216">
        <v>51</v>
      </c>
      <c r="U328" s="216">
        <v>51.1</v>
      </c>
      <c r="V328" s="216">
        <v>51.3</v>
      </c>
      <c r="W328" s="216">
        <v>51.4</v>
      </c>
      <c r="X328" s="216">
        <v>51.6</v>
      </c>
    </row>
    <row r="329" spans="1:24" x14ac:dyDescent="0.2">
      <c r="A329" t="s">
        <v>638</v>
      </c>
      <c r="B329" s="125" t="s">
        <v>505</v>
      </c>
      <c r="C329" s="89">
        <f t="shared" si="10"/>
        <v>-1.958004186077915E-3</v>
      </c>
      <c r="D329" t="s">
        <v>526</v>
      </c>
      <c r="E329" s="89">
        <f t="shared" si="11"/>
        <v>6.4935064935064939E-3</v>
      </c>
      <c r="F329" s="214">
        <v>9874</v>
      </c>
      <c r="G329" s="83">
        <v>630</v>
      </c>
      <c r="H329" s="83">
        <v>615</v>
      </c>
      <c r="I329" s="83">
        <v>620</v>
      </c>
      <c r="J329" s="83">
        <v>605</v>
      </c>
      <c r="K329" s="83">
        <v>610</v>
      </c>
      <c r="L329" s="83">
        <v>19108000</v>
      </c>
      <c r="M329" s="103" t="s">
        <v>505</v>
      </c>
      <c r="N329" s="214">
        <v>9703</v>
      </c>
      <c r="O329" s="214">
        <v>9874</v>
      </c>
      <c r="P329" s="216">
        <v>9.8000000000000007</v>
      </c>
      <c r="Q329" s="216">
        <v>9.8000000000000007</v>
      </c>
      <c r="R329" s="216">
        <v>9.6999999999999993</v>
      </c>
      <c r="S329" s="216">
        <v>9.6999999999999993</v>
      </c>
      <c r="T329" s="216">
        <v>9.6999999999999993</v>
      </c>
      <c r="U329" s="216">
        <v>9.6999999999999993</v>
      </c>
      <c r="V329" s="216">
        <v>9.6999999999999993</v>
      </c>
      <c r="W329" s="216">
        <v>9.6999999999999993</v>
      </c>
      <c r="X329" s="216">
        <v>9.6999999999999993</v>
      </c>
    </row>
    <row r="330" spans="1:24" x14ac:dyDescent="0.2">
      <c r="A330" t="s">
        <v>638</v>
      </c>
      <c r="B330" s="125" t="s">
        <v>506</v>
      </c>
      <c r="C330" s="89">
        <f t="shared" si="10"/>
        <v>1.163325487649812E-3</v>
      </c>
      <c r="D330" t="s">
        <v>155</v>
      </c>
      <c r="E330" s="89">
        <f t="shared" si="11"/>
        <v>1.016260162601626E-2</v>
      </c>
      <c r="F330" s="214">
        <v>16428</v>
      </c>
      <c r="G330" s="83">
        <v>1515</v>
      </c>
      <c r="H330" s="83">
        <v>1500</v>
      </c>
      <c r="I330" s="83">
        <v>1460</v>
      </c>
      <c r="J330" s="83">
        <v>1465</v>
      </c>
      <c r="K330" s="83">
        <v>1440</v>
      </c>
      <c r="L330" s="83">
        <v>6729000</v>
      </c>
      <c r="M330" s="103" t="s">
        <v>506</v>
      </c>
      <c r="N330" s="214">
        <v>16440</v>
      </c>
      <c r="O330" s="214">
        <v>16428</v>
      </c>
      <c r="P330" s="216">
        <v>17</v>
      </c>
      <c r="Q330" s="216">
        <v>17</v>
      </c>
      <c r="R330" s="216">
        <v>17</v>
      </c>
      <c r="S330" s="216">
        <v>16.899999999999999</v>
      </c>
      <c r="T330" s="216">
        <v>16.899999999999999</v>
      </c>
      <c r="U330" s="216">
        <v>16.899999999999999</v>
      </c>
      <c r="V330" s="216">
        <v>16.8</v>
      </c>
      <c r="W330" s="216">
        <v>16.7</v>
      </c>
      <c r="X330" s="216">
        <v>16.600000000000001</v>
      </c>
    </row>
    <row r="331" spans="1:24" x14ac:dyDescent="0.2">
      <c r="A331" t="s">
        <v>629</v>
      </c>
      <c r="B331" s="125" t="s">
        <v>469</v>
      </c>
      <c r="C331" s="89">
        <f t="shared" si="10"/>
        <v>-6.0089445567950367E-3</v>
      </c>
      <c r="D331" t="s">
        <v>155</v>
      </c>
      <c r="E331" s="89">
        <f t="shared" si="11"/>
        <v>1.1005135730007337E-2</v>
      </c>
      <c r="F331" s="214">
        <v>30658</v>
      </c>
      <c r="G331" s="83">
        <v>2825</v>
      </c>
      <c r="H331" s="83">
        <v>2775</v>
      </c>
      <c r="I331" s="83">
        <v>2695</v>
      </c>
      <c r="J331" s="83">
        <v>2660</v>
      </c>
      <c r="K331" s="83">
        <v>2675</v>
      </c>
      <c r="L331" s="83">
        <v>35735000</v>
      </c>
      <c r="M331" s="103" t="s">
        <v>469</v>
      </c>
      <c r="N331" s="214">
        <v>30515</v>
      </c>
      <c r="O331" s="214">
        <v>30658</v>
      </c>
      <c r="P331" s="216">
        <v>30.1</v>
      </c>
      <c r="Q331" s="216">
        <v>30</v>
      </c>
      <c r="R331" s="216">
        <v>29.9</v>
      </c>
      <c r="S331" s="216">
        <v>29.7</v>
      </c>
      <c r="T331" s="216">
        <v>29.6</v>
      </c>
      <c r="U331" s="216">
        <v>29.5</v>
      </c>
      <c r="V331" s="216">
        <v>29.3</v>
      </c>
      <c r="W331" s="216">
        <v>29.2</v>
      </c>
      <c r="X331" s="216">
        <v>29</v>
      </c>
    </row>
    <row r="332" spans="1:24" x14ac:dyDescent="0.2">
      <c r="A332" t="s">
        <v>637</v>
      </c>
      <c r="B332" s="125" t="s">
        <v>175</v>
      </c>
      <c r="C332" s="89">
        <f t="shared" si="10"/>
        <v>-5.7370331342934079E-3</v>
      </c>
      <c r="D332" t="s">
        <v>526</v>
      </c>
      <c r="E332" s="89">
        <f t="shared" si="11"/>
        <v>7.2815533980582527E-3</v>
      </c>
      <c r="F332" s="214">
        <v>27521</v>
      </c>
      <c r="G332" s="83">
        <v>1685</v>
      </c>
      <c r="H332" s="83">
        <v>1670</v>
      </c>
      <c r="I332" s="83">
        <v>1635</v>
      </c>
      <c r="J332" s="83">
        <v>1625</v>
      </c>
      <c r="K332" s="83">
        <v>1625</v>
      </c>
      <c r="L332" s="83">
        <v>3717000</v>
      </c>
      <c r="M332" s="103" t="s">
        <v>175</v>
      </c>
      <c r="N332" s="214">
        <v>27526</v>
      </c>
      <c r="O332" s="214">
        <v>27521</v>
      </c>
      <c r="P332" s="216">
        <v>27.3</v>
      </c>
      <c r="Q332" s="216">
        <v>27.1</v>
      </c>
      <c r="R332" s="216">
        <v>27</v>
      </c>
      <c r="S332" s="216">
        <v>26.8</v>
      </c>
      <c r="T332" s="216">
        <v>26.6</v>
      </c>
      <c r="U332" s="216">
        <v>26.5</v>
      </c>
      <c r="V332" s="216">
        <v>26.3</v>
      </c>
      <c r="W332" s="216">
        <v>26.2</v>
      </c>
      <c r="X332" s="216">
        <v>26.1</v>
      </c>
    </row>
    <row r="333" spans="1:24" x14ac:dyDescent="0.2">
      <c r="A333" t="s">
        <v>636</v>
      </c>
      <c r="B333" s="125" t="s">
        <v>295</v>
      </c>
      <c r="C333" s="89">
        <f t="shared" si="10"/>
        <v>-3.0808096367712984E-5</v>
      </c>
      <c r="D333" t="s">
        <v>526</v>
      </c>
      <c r="E333" s="89">
        <f t="shared" si="11"/>
        <v>1.1108825344579305E-2</v>
      </c>
      <c r="F333" s="214">
        <v>64918</v>
      </c>
      <c r="G333" s="83">
        <v>5060</v>
      </c>
      <c r="H333" s="83">
        <v>4965</v>
      </c>
      <c r="I333" s="83">
        <v>4810</v>
      </c>
      <c r="J333" s="83">
        <v>4680</v>
      </c>
      <c r="K333" s="83">
        <v>4790</v>
      </c>
      <c r="L333" s="83">
        <v>128102000</v>
      </c>
      <c r="M333" s="103" t="s">
        <v>295</v>
      </c>
      <c r="N333" s="214">
        <v>64284</v>
      </c>
      <c r="O333" s="214">
        <v>64918</v>
      </c>
      <c r="P333" s="216">
        <v>63.6</v>
      </c>
      <c r="Q333" s="216">
        <v>63.7</v>
      </c>
      <c r="R333" s="216">
        <v>63.8</v>
      </c>
      <c r="S333" s="216">
        <v>63.9</v>
      </c>
      <c r="T333" s="216">
        <v>64.099999999999994</v>
      </c>
      <c r="U333" s="216">
        <v>64.3</v>
      </c>
      <c r="V333" s="216">
        <v>64.599999999999994</v>
      </c>
      <c r="W333" s="216">
        <v>64.7</v>
      </c>
      <c r="X333" s="216">
        <v>64.900000000000006</v>
      </c>
    </row>
    <row r="334" spans="1:24" x14ac:dyDescent="0.2">
      <c r="A334" t="s">
        <v>640</v>
      </c>
      <c r="B334" s="125" t="s">
        <v>414</v>
      </c>
      <c r="C334" s="89">
        <f t="shared" si="10"/>
        <v>2.7291161627711964E-3</v>
      </c>
      <c r="D334" t="s">
        <v>555</v>
      </c>
      <c r="E334" s="89">
        <f t="shared" si="11"/>
        <v>2.0861074123391034E-2</v>
      </c>
      <c r="F334" s="214">
        <v>21863</v>
      </c>
      <c r="G334" s="83">
        <v>2385</v>
      </c>
      <c r="H334" s="83">
        <v>2330</v>
      </c>
      <c r="I334" s="83">
        <v>2240</v>
      </c>
      <c r="J334" s="83">
        <v>2160</v>
      </c>
      <c r="K334" s="83">
        <v>2150</v>
      </c>
      <c r="L334" s="83">
        <v>37618000</v>
      </c>
      <c r="M334" s="103" t="s">
        <v>414</v>
      </c>
      <c r="N334" s="214">
        <v>21900</v>
      </c>
      <c r="O334" s="214">
        <v>21863</v>
      </c>
      <c r="P334" s="216">
        <v>22.2</v>
      </c>
      <c r="Q334" s="216">
        <v>22.2</v>
      </c>
      <c r="R334" s="216">
        <v>22.3</v>
      </c>
      <c r="S334" s="216">
        <v>22.3</v>
      </c>
      <c r="T334" s="216">
        <v>22.3</v>
      </c>
      <c r="U334" s="216">
        <v>22.4</v>
      </c>
      <c r="V334" s="216">
        <v>22.4</v>
      </c>
      <c r="W334" s="216">
        <v>22.4</v>
      </c>
      <c r="X334" s="216">
        <v>22.4</v>
      </c>
    </row>
    <row r="335" spans="1:24" x14ac:dyDescent="0.2">
      <c r="A335" t="s">
        <v>629</v>
      </c>
      <c r="B335" s="125" t="s">
        <v>471</v>
      </c>
      <c r="C335" s="89">
        <f t="shared" si="10"/>
        <v>6.1291423652850121E-3</v>
      </c>
      <c r="D335" t="s">
        <v>555</v>
      </c>
      <c r="E335" s="89">
        <f t="shared" si="11"/>
        <v>1.834301436869459E-2</v>
      </c>
      <c r="F335" s="214">
        <v>44922</v>
      </c>
      <c r="G335" s="83">
        <v>3435</v>
      </c>
      <c r="H335" s="83">
        <v>3355</v>
      </c>
      <c r="I335" s="83">
        <v>3275</v>
      </c>
      <c r="J335" s="83">
        <v>3155</v>
      </c>
      <c r="K335" s="83">
        <v>3135</v>
      </c>
      <c r="L335" s="83">
        <v>111751000</v>
      </c>
      <c r="M335" s="103" t="s">
        <v>471</v>
      </c>
      <c r="N335" s="214">
        <v>44720</v>
      </c>
      <c r="O335" s="214">
        <v>44922</v>
      </c>
      <c r="P335" s="216">
        <v>45.4</v>
      </c>
      <c r="Q335" s="216">
        <v>45.7</v>
      </c>
      <c r="R335" s="216">
        <v>46</v>
      </c>
      <c r="S335" s="216">
        <v>46.3</v>
      </c>
      <c r="T335" s="216">
        <v>46.5</v>
      </c>
      <c r="U335" s="216">
        <v>46.7</v>
      </c>
      <c r="V335" s="216">
        <v>47</v>
      </c>
      <c r="W335" s="216">
        <v>47.2</v>
      </c>
      <c r="X335" s="216">
        <v>47.4</v>
      </c>
    </row>
    <row r="336" spans="1:24" x14ac:dyDescent="0.2">
      <c r="A336" t="s">
        <v>630</v>
      </c>
      <c r="B336" s="125" t="s">
        <v>339</v>
      </c>
      <c r="C336" s="89">
        <f t="shared" si="10"/>
        <v>-1.1633813432958102E-3</v>
      </c>
      <c r="D336" t="s">
        <v>155</v>
      </c>
      <c r="E336" s="89">
        <f t="shared" si="11"/>
        <v>2.5125628140703519E-2</v>
      </c>
      <c r="F336" s="214">
        <v>67810</v>
      </c>
      <c r="G336" s="83">
        <v>5325</v>
      </c>
      <c r="H336" s="83">
        <v>5165</v>
      </c>
      <c r="I336" s="83">
        <v>4915</v>
      </c>
      <c r="J336" s="83">
        <v>4770</v>
      </c>
      <c r="K336" s="83">
        <v>4700</v>
      </c>
      <c r="L336" s="83">
        <v>127234000</v>
      </c>
      <c r="M336" s="103" t="s">
        <v>339</v>
      </c>
      <c r="N336" s="214">
        <v>67604</v>
      </c>
      <c r="O336" s="214">
        <v>67810</v>
      </c>
      <c r="P336" s="216">
        <v>67.5</v>
      </c>
      <c r="Q336" s="216">
        <v>67.400000000000006</v>
      </c>
      <c r="R336" s="216">
        <v>67.400000000000006</v>
      </c>
      <c r="S336" s="216">
        <v>67.3</v>
      </c>
      <c r="T336" s="216">
        <v>67.2</v>
      </c>
      <c r="U336" s="216">
        <v>67.099999999999994</v>
      </c>
      <c r="V336" s="216">
        <v>67.099999999999994</v>
      </c>
      <c r="W336" s="216">
        <v>67.099999999999994</v>
      </c>
      <c r="X336" s="216">
        <v>67.099999999999994</v>
      </c>
    </row>
    <row r="337" spans="1:24" x14ac:dyDescent="0.2">
      <c r="A337" t="s">
        <v>638</v>
      </c>
      <c r="B337" s="125" t="s">
        <v>507</v>
      </c>
      <c r="C337" s="89">
        <f t="shared" si="10"/>
        <v>-2.2259980769484071E-3</v>
      </c>
      <c r="D337" t="s">
        <v>526</v>
      </c>
      <c r="E337" s="89">
        <f t="shared" si="11"/>
        <v>1.461108723678556E-2</v>
      </c>
      <c r="F337" s="214">
        <v>101228</v>
      </c>
      <c r="G337" s="83">
        <v>7260</v>
      </c>
      <c r="H337" s="83">
        <v>7180</v>
      </c>
      <c r="I337" s="83">
        <v>6965</v>
      </c>
      <c r="J337" s="83">
        <v>6750</v>
      </c>
      <c r="K337" s="83">
        <v>6750</v>
      </c>
      <c r="L337" s="83">
        <v>255448000</v>
      </c>
      <c r="M337" s="103" t="s">
        <v>507</v>
      </c>
      <c r="N337" s="214">
        <v>101023</v>
      </c>
      <c r="O337" s="214">
        <v>101228</v>
      </c>
      <c r="P337" s="216">
        <v>100.8</v>
      </c>
      <c r="Q337" s="216">
        <v>100.9</v>
      </c>
      <c r="R337" s="216">
        <v>100.8</v>
      </c>
      <c r="S337" s="216">
        <v>100.6</v>
      </c>
      <c r="T337" s="216">
        <v>100.4</v>
      </c>
      <c r="U337" s="216">
        <v>100.1</v>
      </c>
      <c r="V337" s="216">
        <v>99.9</v>
      </c>
      <c r="W337" s="216">
        <v>99.5</v>
      </c>
      <c r="X337" s="216">
        <v>99.2</v>
      </c>
    </row>
    <row r="338" spans="1:24" x14ac:dyDescent="0.2">
      <c r="A338" t="s">
        <v>638</v>
      </c>
      <c r="B338" s="125" t="s">
        <v>508</v>
      </c>
      <c r="C338" s="89">
        <f t="shared" si="10"/>
        <v>1.676433042649072E-3</v>
      </c>
      <c r="D338" t="s">
        <v>155</v>
      </c>
      <c r="E338" s="89">
        <f t="shared" si="11"/>
        <v>2.2511097019657578E-2</v>
      </c>
      <c r="F338" s="214">
        <v>43346</v>
      </c>
      <c r="G338" s="83">
        <v>3325</v>
      </c>
      <c r="H338" s="83">
        <v>3260</v>
      </c>
      <c r="I338" s="83">
        <v>3160</v>
      </c>
      <c r="J338" s="83">
        <v>3055</v>
      </c>
      <c r="K338" s="83">
        <v>2970</v>
      </c>
      <c r="L338" s="83">
        <v>58174000</v>
      </c>
      <c r="M338" s="103" t="s">
        <v>508</v>
      </c>
      <c r="N338" s="214">
        <v>43566</v>
      </c>
      <c r="O338" s="214">
        <v>43346</v>
      </c>
      <c r="P338" s="216">
        <v>43.6</v>
      </c>
      <c r="Q338" s="216">
        <v>43.7</v>
      </c>
      <c r="R338" s="216">
        <v>43.7</v>
      </c>
      <c r="S338" s="216">
        <v>43.7</v>
      </c>
      <c r="T338" s="216">
        <v>43.7</v>
      </c>
      <c r="U338" s="216">
        <v>43.7</v>
      </c>
      <c r="V338" s="216">
        <v>43.8</v>
      </c>
      <c r="W338" s="216">
        <v>43.9</v>
      </c>
      <c r="X338" s="216">
        <v>44</v>
      </c>
    </row>
    <row r="339" spans="1:24" x14ac:dyDescent="0.2">
      <c r="A339" t="s">
        <v>636</v>
      </c>
      <c r="B339" s="125" t="s">
        <v>296</v>
      </c>
      <c r="C339" s="89">
        <f t="shared" si="10"/>
        <v>9.1353942248275644E-3</v>
      </c>
      <c r="D339" t="s">
        <v>555</v>
      </c>
      <c r="E339" s="89">
        <f t="shared" si="11"/>
        <v>2.1965317919075144E-2</v>
      </c>
      <c r="F339" s="214">
        <v>19959</v>
      </c>
      <c r="G339" s="83">
        <v>1835</v>
      </c>
      <c r="H339" s="83">
        <v>1775</v>
      </c>
      <c r="I339" s="83">
        <v>1725</v>
      </c>
      <c r="J339" s="83">
        <v>1670</v>
      </c>
      <c r="K339" s="83">
        <v>1645</v>
      </c>
      <c r="L339" s="83">
        <v>6438000</v>
      </c>
      <c r="M339" s="103" t="s">
        <v>296</v>
      </c>
      <c r="N339" s="214">
        <v>19711</v>
      </c>
      <c r="O339" s="214">
        <v>19959</v>
      </c>
      <c r="P339" s="216">
        <v>20</v>
      </c>
      <c r="Q339" s="216">
        <v>20.2</v>
      </c>
      <c r="R339" s="216">
        <v>20.3</v>
      </c>
      <c r="S339" s="216">
        <v>20.6</v>
      </c>
      <c r="T339" s="216">
        <v>20.8</v>
      </c>
      <c r="U339" s="216">
        <v>21</v>
      </c>
      <c r="V339" s="216">
        <v>21.2</v>
      </c>
      <c r="W339" s="216">
        <v>21.4</v>
      </c>
      <c r="X339" s="216">
        <v>21.6</v>
      </c>
    </row>
    <row r="340" spans="1:24" x14ac:dyDescent="0.2">
      <c r="A340" t="s">
        <v>633</v>
      </c>
      <c r="B340" s="125" t="s">
        <v>392</v>
      </c>
      <c r="C340" s="89">
        <f t="shared" si="10"/>
        <v>3.1597988461876539E-3</v>
      </c>
      <c r="D340" t="s">
        <v>155</v>
      </c>
      <c r="E340" s="89">
        <f t="shared" si="11"/>
        <v>1.3468013468013467E-2</v>
      </c>
      <c r="F340" s="214">
        <v>72051</v>
      </c>
      <c r="G340" s="83">
        <v>4310</v>
      </c>
      <c r="H340" s="83">
        <v>4290</v>
      </c>
      <c r="I340" s="83">
        <v>4165</v>
      </c>
      <c r="J340" s="83">
        <v>3995</v>
      </c>
      <c r="K340" s="83">
        <v>4030</v>
      </c>
      <c r="L340" s="83">
        <v>298860000</v>
      </c>
      <c r="M340" s="103" t="s">
        <v>392</v>
      </c>
      <c r="N340" s="214">
        <v>72062</v>
      </c>
      <c r="O340" s="214">
        <v>72051</v>
      </c>
      <c r="P340" s="216">
        <v>72.7</v>
      </c>
      <c r="Q340" s="216">
        <v>73</v>
      </c>
      <c r="R340" s="216">
        <v>73.3</v>
      </c>
      <c r="S340" s="216">
        <v>73.5</v>
      </c>
      <c r="T340" s="216">
        <v>73.8</v>
      </c>
      <c r="U340" s="216">
        <v>73.900000000000006</v>
      </c>
      <c r="V340" s="216">
        <v>74</v>
      </c>
      <c r="W340" s="216">
        <v>74</v>
      </c>
      <c r="X340" s="216">
        <v>74.099999999999994</v>
      </c>
    </row>
    <row r="341" spans="1:24" x14ac:dyDescent="0.2">
      <c r="A341" t="s">
        <v>637</v>
      </c>
      <c r="B341" s="125" t="s">
        <v>176</v>
      </c>
      <c r="C341" s="89">
        <f t="shared" si="10"/>
        <v>1.1574512237014604E-2</v>
      </c>
      <c r="D341" t="s">
        <v>155</v>
      </c>
      <c r="E341" s="89">
        <f t="shared" si="11"/>
        <v>1.8578352180936994E-2</v>
      </c>
      <c r="F341" s="214">
        <v>15849</v>
      </c>
      <c r="G341" s="83">
        <v>1285</v>
      </c>
      <c r="H341" s="83">
        <v>1275</v>
      </c>
      <c r="I341" s="83">
        <v>1240</v>
      </c>
      <c r="J341" s="83">
        <v>1220</v>
      </c>
      <c r="K341" s="83">
        <v>1170</v>
      </c>
      <c r="L341" s="83">
        <v>-15679000</v>
      </c>
      <c r="M341" s="103" t="s">
        <v>176</v>
      </c>
      <c r="N341" s="214">
        <v>15937</v>
      </c>
      <c r="O341" s="214">
        <v>15849</v>
      </c>
      <c r="P341" s="216">
        <v>20.6</v>
      </c>
      <c r="Q341" s="216">
        <v>20</v>
      </c>
      <c r="R341" s="216">
        <v>19.5</v>
      </c>
      <c r="S341" s="216">
        <v>19.100000000000001</v>
      </c>
      <c r="T341" s="216">
        <v>18.8</v>
      </c>
      <c r="U341" s="216">
        <v>18.5</v>
      </c>
      <c r="V341" s="216">
        <v>18.100000000000001</v>
      </c>
      <c r="W341" s="216">
        <v>17.8</v>
      </c>
      <c r="X341" s="216">
        <v>17.5</v>
      </c>
    </row>
    <row r="342" spans="1:24" x14ac:dyDescent="0.2">
      <c r="A342" t="s">
        <v>632</v>
      </c>
      <c r="B342" s="125" t="s">
        <v>197</v>
      </c>
      <c r="C342" s="89">
        <f t="shared" si="10"/>
        <v>-3.2362459546925564E-3</v>
      </c>
      <c r="D342" t="s">
        <v>155</v>
      </c>
      <c r="E342" s="89">
        <f t="shared" si="11"/>
        <v>1.7751479289940829E-2</v>
      </c>
      <c r="F342" s="214">
        <v>1133</v>
      </c>
      <c r="G342" s="83">
        <v>175</v>
      </c>
      <c r="H342" s="83">
        <v>180</v>
      </c>
      <c r="I342" s="83">
        <v>170</v>
      </c>
      <c r="J342" s="83">
        <v>160</v>
      </c>
      <c r="K342" s="83">
        <v>160</v>
      </c>
      <c r="L342" s="83">
        <v>-1358000</v>
      </c>
      <c r="M342" s="103" t="s">
        <v>197</v>
      </c>
      <c r="N342" s="214">
        <v>1088</v>
      </c>
      <c r="O342" s="214">
        <v>1133</v>
      </c>
      <c r="P342" s="216">
        <v>1.1000000000000001</v>
      </c>
      <c r="Q342" s="216">
        <v>1.1000000000000001</v>
      </c>
      <c r="R342" s="216">
        <v>1.1000000000000001</v>
      </c>
      <c r="S342" s="216">
        <v>1.1000000000000001</v>
      </c>
      <c r="T342" s="216">
        <v>1.1000000000000001</v>
      </c>
      <c r="U342" s="216">
        <v>1.1000000000000001</v>
      </c>
      <c r="V342" s="216">
        <v>1.1000000000000001</v>
      </c>
      <c r="W342" s="216">
        <v>1.1000000000000001</v>
      </c>
      <c r="X342" s="216">
        <v>1.1000000000000001</v>
      </c>
    </row>
    <row r="343" spans="1:24" x14ac:dyDescent="0.2">
      <c r="A343" t="s">
        <v>640</v>
      </c>
      <c r="B343" s="125" t="s">
        <v>415</v>
      </c>
      <c r="C343" s="89">
        <f t="shared" si="10"/>
        <v>-2.9695230531392278E-3</v>
      </c>
      <c r="D343" t="s">
        <v>526</v>
      </c>
      <c r="E343" s="89">
        <f t="shared" si="11"/>
        <v>1.6795865633074936E-2</v>
      </c>
      <c r="F343" s="214">
        <v>44489</v>
      </c>
      <c r="G343" s="83">
        <v>2425</v>
      </c>
      <c r="H343" s="83">
        <v>2370</v>
      </c>
      <c r="I343" s="83">
        <v>2350</v>
      </c>
      <c r="J343" s="83">
        <v>2235</v>
      </c>
      <c r="K343" s="83">
        <v>2230</v>
      </c>
      <c r="L343" s="83">
        <v>221964000</v>
      </c>
      <c r="M343" s="103" t="s">
        <v>415</v>
      </c>
      <c r="N343" s="214">
        <v>44399</v>
      </c>
      <c r="O343" s="214">
        <v>44489</v>
      </c>
      <c r="P343" s="216">
        <v>44.1</v>
      </c>
      <c r="Q343" s="216">
        <v>44</v>
      </c>
      <c r="R343" s="216">
        <v>43.8</v>
      </c>
      <c r="S343" s="216">
        <v>43.7</v>
      </c>
      <c r="T343" s="216">
        <v>43.6</v>
      </c>
      <c r="U343" s="216">
        <v>43.5</v>
      </c>
      <c r="V343" s="216">
        <v>43.5</v>
      </c>
      <c r="W343" s="216">
        <v>43.4</v>
      </c>
      <c r="X343" s="216">
        <v>43.3</v>
      </c>
    </row>
    <row r="344" spans="1:24" x14ac:dyDescent="0.2">
      <c r="A344" t="s">
        <v>638</v>
      </c>
      <c r="B344" s="125" t="s">
        <v>509</v>
      </c>
      <c r="C344" s="89">
        <f t="shared" si="10"/>
        <v>-2.6094208161837897E-3</v>
      </c>
      <c r="D344" t="s">
        <v>555</v>
      </c>
      <c r="E344" s="89">
        <f t="shared" si="11"/>
        <v>2.5302530253025302E-2</v>
      </c>
      <c r="F344" s="214">
        <v>12391</v>
      </c>
      <c r="G344" s="83">
        <v>975</v>
      </c>
      <c r="H344" s="83">
        <v>950</v>
      </c>
      <c r="I344" s="83">
        <v>900</v>
      </c>
      <c r="J344" s="83">
        <v>860</v>
      </c>
      <c r="K344" s="83">
        <v>860</v>
      </c>
      <c r="L344" s="83">
        <v>-1094000</v>
      </c>
      <c r="M344" s="103" t="s">
        <v>509</v>
      </c>
      <c r="N344" s="214">
        <v>12464</v>
      </c>
      <c r="O344" s="214">
        <v>12391</v>
      </c>
      <c r="P344" s="216">
        <v>12.8</v>
      </c>
      <c r="Q344" s="216">
        <v>12.9</v>
      </c>
      <c r="R344" s="216">
        <v>12.9</v>
      </c>
      <c r="S344" s="216">
        <v>12.8</v>
      </c>
      <c r="T344" s="216">
        <v>12.6</v>
      </c>
      <c r="U344" s="216">
        <v>12.5</v>
      </c>
      <c r="V344" s="216">
        <v>12.3</v>
      </c>
      <c r="W344" s="216">
        <v>12.2</v>
      </c>
      <c r="X344" s="216">
        <v>12.1</v>
      </c>
    </row>
    <row r="345" spans="1:24" x14ac:dyDescent="0.2">
      <c r="A345" t="s">
        <v>633</v>
      </c>
      <c r="B345" s="125" t="s">
        <v>393</v>
      </c>
      <c r="C345" s="89">
        <f t="shared" si="10"/>
        <v>1.5059254894257842E-3</v>
      </c>
      <c r="D345" t="s">
        <v>555</v>
      </c>
      <c r="E345" s="89">
        <f t="shared" si="11"/>
        <v>2.4049217002237135E-2</v>
      </c>
      <c r="F345" s="214">
        <v>25455</v>
      </c>
      <c r="G345" s="83">
        <v>1895</v>
      </c>
      <c r="H345" s="83">
        <v>1840</v>
      </c>
      <c r="I345" s="83">
        <v>1775</v>
      </c>
      <c r="J345" s="83">
        <v>1750</v>
      </c>
      <c r="K345" s="83">
        <v>1680</v>
      </c>
      <c r="L345" s="83">
        <v>-15141000</v>
      </c>
      <c r="M345" s="103" t="s">
        <v>393</v>
      </c>
      <c r="N345" s="214">
        <v>25319</v>
      </c>
      <c r="O345" s="214">
        <v>25455</v>
      </c>
      <c r="P345" s="216">
        <v>25.7</v>
      </c>
      <c r="Q345" s="216">
        <v>25.8</v>
      </c>
      <c r="R345" s="216">
        <v>25.9</v>
      </c>
      <c r="S345" s="216">
        <v>26</v>
      </c>
      <c r="T345" s="216">
        <v>26</v>
      </c>
      <c r="U345" s="216">
        <v>25.9</v>
      </c>
      <c r="V345" s="216">
        <v>25.8</v>
      </c>
      <c r="W345" s="216">
        <v>25.8</v>
      </c>
      <c r="X345" s="216">
        <v>25.8</v>
      </c>
    </row>
    <row r="346" spans="1:24" x14ac:dyDescent="0.2">
      <c r="A346" t="s">
        <v>631</v>
      </c>
      <c r="B346" s="125" t="s">
        <v>267</v>
      </c>
      <c r="C346" s="89">
        <f t="shared" si="10"/>
        <v>4.2052913535552995E-4</v>
      </c>
      <c r="D346" t="s">
        <v>555</v>
      </c>
      <c r="E346" s="89">
        <f t="shared" si="11"/>
        <v>2.2868032396379228E-2</v>
      </c>
      <c r="F346" s="214">
        <v>24308</v>
      </c>
      <c r="G346" s="83">
        <v>2210</v>
      </c>
      <c r="H346" s="83">
        <v>2175</v>
      </c>
      <c r="I346" s="83">
        <v>2120</v>
      </c>
      <c r="J346" s="83">
        <v>2020</v>
      </c>
      <c r="K346" s="83">
        <v>1970</v>
      </c>
      <c r="L346" s="83">
        <v>44263000</v>
      </c>
      <c r="M346" s="103" t="s">
        <v>267</v>
      </c>
      <c r="N346" s="214">
        <v>24200</v>
      </c>
      <c r="O346" s="214">
        <v>24308</v>
      </c>
      <c r="P346" s="216">
        <v>24.1</v>
      </c>
      <c r="Q346" s="216">
        <v>24.1</v>
      </c>
      <c r="R346" s="216">
        <v>24.2</v>
      </c>
      <c r="S346" s="216">
        <v>24.2</v>
      </c>
      <c r="T346" s="216">
        <v>24.2</v>
      </c>
      <c r="U346" s="216">
        <v>24.3</v>
      </c>
      <c r="V346" s="216">
        <v>24.3</v>
      </c>
      <c r="W346" s="216">
        <v>24.3</v>
      </c>
      <c r="X346" s="216">
        <v>24.4</v>
      </c>
    </row>
    <row r="347" spans="1:24" x14ac:dyDescent="0.2">
      <c r="A347" t="s">
        <v>629</v>
      </c>
      <c r="B347" s="125" t="s">
        <v>472</v>
      </c>
      <c r="C347" s="89">
        <f t="shared" si="10"/>
        <v>2.3747977218754597E-3</v>
      </c>
      <c r="D347" t="s">
        <v>155</v>
      </c>
      <c r="E347" s="89">
        <f t="shared" si="11"/>
        <v>3.0303030303030304E-2</v>
      </c>
      <c r="F347" s="214">
        <v>26435</v>
      </c>
      <c r="G347" s="83">
        <v>2730</v>
      </c>
      <c r="H347" s="83">
        <v>2600</v>
      </c>
      <c r="I347" s="83">
        <v>2485</v>
      </c>
      <c r="J347" s="83">
        <v>2375</v>
      </c>
      <c r="K347" s="83">
        <v>2350</v>
      </c>
      <c r="L347" s="83">
        <v>43437000</v>
      </c>
      <c r="M347" s="103" t="s">
        <v>472</v>
      </c>
      <c r="N347" s="214">
        <v>26191</v>
      </c>
      <c r="O347" s="214">
        <v>26435</v>
      </c>
      <c r="P347" s="216">
        <v>26.3</v>
      </c>
      <c r="Q347" s="216">
        <v>26.5</v>
      </c>
      <c r="R347" s="216">
        <v>26.6</v>
      </c>
      <c r="S347" s="216">
        <v>26.6</v>
      </c>
      <c r="T347" s="216">
        <v>26.7</v>
      </c>
      <c r="U347" s="216">
        <v>26.8</v>
      </c>
      <c r="V347" s="216">
        <v>26.9</v>
      </c>
      <c r="W347" s="216">
        <v>27</v>
      </c>
      <c r="X347" s="216">
        <v>27</v>
      </c>
    </row>
    <row r="348" spans="1:24" x14ac:dyDescent="0.2">
      <c r="A348" t="s">
        <v>629</v>
      </c>
      <c r="B348" s="125" t="s">
        <v>473</v>
      </c>
      <c r="C348" s="89">
        <f t="shared" si="10"/>
        <v>1.4509444151652971E-3</v>
      </c>
      <c r="D348" t="s">
        <v>555</v>
      </c>
      <c r="E348" s="89">
        <f t="shared" si="11"/>
        <v>2.1611001964636542E-2</v>
      </c>
      <c r="F348" s="214">
        <v>17077</v>
      </c>
      <c r="G348" s="83">
        <v>1600</v>
      </c>
      <c r="H348" s="83">
        <v>1585</v>
      </c>
      <c r="I348" s="83">
        <v>1545</v>
      </c>
      <c r="J348" s="83">
        <v>1470</v>
      </c>
      <c r="K348" s="83">
        <v>1435</v>
      </c>
      <c r="L348" s="83">
        <v>-5495000</v>
      </c>
      <c r="M348" s="103" t="s">
        <v>473</v>
      </c>
      <c r="N348" s="214">
        <v>16898</v>
      </c>
      <c r="O348" s="214">
        <v>17077</v>
      </c>
      <c r="P348" s="216">
        <v>17.100000000000001</v>
      </c>
      <c r="Q348" s="216">
        <v>17.2</v>
      </c>
      <c r="R348" s="216">
        <v>17.3</v>
      </c>
      <c r="S348" s="216">
        <v>17.3</v>
      </c>
      <c r="T348" s="216">
        <v>17.399999999999999</v>
      </c>
      <c r="U348" s="216">
        <v>17.3</v>
      </c>
      <c r="V348" s="216">
        <v>17.3</v>
      </c>
      <c r="W348" s="216">
        <v>17.2</v>
      </c>
      <c r="X348" s="216">
        <v>17.3</v>
      </c>
    </row>
    <row r="349" spans="1:24" x14ac:dyDescent="0.2">
      <c r="A349" t="s">
        <v>629</v>
      </c>
      <c r="B349" s="125" t="s">
        <v>474</v>
      </c>
      <c r="C349" s="89">
        <f t="shared" si="10"/>
        <v>3.198815460475771E-3</v>
      </c>
      <c r="D349" t="s">
        <v>155</v>
      </c>
      <c r="E349" s="89">
        <f t="shared" si="11"/>
        <v>1.7759562841530054E-2</v>
      </c>
      <c r="F349" s="214">
        <v>47726</v>
      </c>
      <c r="G349" s="83">
        <v>4595</v>
      </c>
      <c r="H349" s="83">
        <v>4490</v>
      </c>
      <c r="I349" s="83">
        <v>4395</v>
      </c>
      <c r="J349" s="83">
        <v>4275</v>
      </c>
      <c r="K349" s="83">
        <v>4205</v>
      </c>
      <c r="L349" s="83">
        <v>130756000</v>
      </c>
      <c r="M349" s="103" t="s">
        <v>474</v>
      </c>
      <c r="N349" s="214">
        <v>47417</v>
      </c>
      <c r="O349" s="214">
        <v>47726</v>
      </c>
      <c r="P349" s="216">
        <v>47.6</v>
      </c>
      <c r="Q349" s="216">
        <v>47.9</v>
      </c>
      <c r="R349" s="216">
        <v>48.1</v>
      </c>
      <c r="S349" s="216">
        <v>48.3</v>
      </c>
      <c r="T349" s="216">
        <v>48.5</v>
      </c>
      <c r="U349" s="216">
        <v>48.7</v>
      </c>
      <c r="V349" s="216">
        <v>48.9</v>
      </c>
      <c r="W349" s="216">
        <v>49</v>
      </c>
      <c r="X349" s="216">
        <v>49.1</v>
      </c>
    </row>
    <row r="350" spans="1:24" x14ac:dyDescent="0.2">
      <c r="A350" t="s">
        <v>633</v>
      </c>
      <c r="B350" s="125" t="s">
        <v>394</v>
      </c>
      <c r="C350" s="89">
        <f t="shared" si="10"/>
        <v>-1.439440674480773E-3</v>
      </c>
      <c r="D350" t="s">
        <v>555</v>
      </c>
      <c r="E350" s="89">
        <f t="shared" si="11"/>
        <v>2.7764923646459973E-2</v>
      </c>
      <c r="F350" s="214">
        <v>27557</v>
      </c>
      <c r="G350" s="83">
        <v>2315</v>
      </c>
      <c r="H350" s="83">
        <v>2245</v>
      </c>
      <c r="I350" s="83">
        <v>2160</v>
      </c>
      <c r="J350" s="83">
        <v>2070</v>
      </c>
      <c r="K350" s="83">
        <v>2015</v>
      </c>
      <c r="L350" s="83">
        <v>51495000</v>
      </c>
      <c r="M350" s="103" t="s">
        <v>394</v>
      </c>
      <c r="N350" s="214">
        <v>26536</v>
      </c>
      <c r="O350" s="214">
        <v>27557</v>
      </c>
      <c r="P350" s="216">
        <v>25.9</v>
      </c>
      <c r="Q350" s="216">
        <v>26.1</v>
      </c>
      <c r="R350" s="216">
        <v>26.3</v>
      </c>
      <c r="S350" s="216">
        <v>26.6</v>
      </c>
      <c r="T350" s="216">
        <v>26.9</v>
      </c>
      <c r="U350" s="216">
        <v>27.2</v>
      </c>
      <c r="V350" s="216">
        <v>27.2</v>
      </c>
      <c r="W350" s="216">
        <v>27.2</v>
      </c>
      <c r="X350" s="216">
        <v>27.2</v>
      </c>
    </row>
    <row r="351" spans="1:24" x14ac:dyDescent="0.2">
      <c r="A351" t="s">
        <v>631</v>
      </c>
      <c r="B351" s="125" t="s">
        <v>268</v>
      </c>
      <c r="C351" s="89">
        <f t="shared" si="10"/>
        <v>1.0479995367957849E-2</v>
      </c>
      <c r="D351" t="s">
        <v>155</v>
      </c>
      <c r="E351" s="89">
        <f t="shared" si="11"/>
        <v>2.266172229089411E-2</v>
      </c>
      <c r="F351" s="214">
        <v>38380</v>
      </c>
      <c r="G351" s="83">
        <v>2550</v>
      </c>
      <c r="H351" s="83">
        <v>2530</v>
      </c>
      <c r="I351" s="83">
        <v>2455</v>
      </c>
      <c r="J351" s="83">
        <v>2325</v>
      </c>
      <c r="K351" s="83">
        <v>2275</v>
      </c>
      <c r="L351" s="83">
        <v>40103000</v>
      </c>
      <c r="M351" s="103" t="s">
        <v>268</v>
      </c>
      <c r="N351" s="214">
        <v>38497</v>
      </c>
      <c r="O351" s="214">
        <v>38380</v>
      </c>
      <c r="P351" s="216">
        <v>39.299999999999997</v>
      </c>
      <c r="Q351" s="216">
        <v>39.700000000000003</v>
      </c>
      <c r="R351" s="216">
        <v>40</v>
      </c>
      <c r="S351" s="216">
        <v>40.299999999999997</v>
      </c>
      <c r="T351" s="216">
        <v>40.6</v>
      </c>
      <c r="U351" s="216">
        <v>41</v>
      </c>
      <c r="V351" s="216">
        <v>41.4</v>
      </c>
      <c r="W351" s="216">
        <v>41.7</v>
      </c>
      <c r="X351" s="216">
        <v>42</v>
      </c>
    </row>
    <row r="352" spans="1:24" x14ac:dyDescent="0.2">
      <c r="A352" t="s">
        <v>633</v>
      </c>
      <c r="B352" s="125" t="s">
        <v>395</v>
      </c>
      <c r="C352" s="89">
        <f t="shared" si="10"/>
        <v>-4.6909985612000786E-3</v>
      </c>
      <c r="D352" t="s">
        <v>555</v>
      </c>
      <c r="E352" s="89">
        <f t="shared" si="11"/>
        <v>1.6339869281045753E-2</v>
      </c>
      <c r="F352" s="214">
        <v>26102</v>
      </c>
      <c r="G352" s="83">
        <v>2555</v>
      </c>
      <c r="H352" s="83">
        <v>2540</v>
      </c>
      <c r="I352" s="83">
        <v>2440</v>
      </c>
      <c r="J352" s="83">
        <v>2350</v>
      </c>
      <c r="K352" s="83">
        <v>2355</v>
      </c>
      <c r="L352" s="83">
        <v>-41706000</v>
      </c>
      <c r="M352" s="103" t="s">
        <v>395</v>
      </c>
      <c r="N352" s="214">
        <v>26051</v>
      </c>
      <c r="O352" s="214">
        <v>26102</v>
      </c>
      <c r="P352" s="216">
        <v>25.8</v>
      </c>
      <c r="Q352" s="216">
        <v>25.6</v>
      </c>
      <c r="R352" s="216">
        <v>25.4</v>
      </c>
      <c r="S352" s="216">
        <v>25.3</v>
      </c>
      <c r="T352" s="216">
        <v>25.2</v>
      </c>
      <c r="U352" s="216">
        <v>25.1</v>
      </c>
      <c r="V352" s="216">
        <v>25.1</v>
      </c>
      <c r="W352" s="216">
        <v>25.1</v>
      </c>
      <c r="X352" s="216">
        <v>25</v>
      </c>
    </row>
    <row r="353" spans="1:24" x14ac:dyDescent="0.2">
      <c r="A353" t="s">
        <v>630</v>
      </c>
      <c r="B353" s="125" t="s">
        <v>340</v>
      </c>
      <c r="C353" s="89">
        <f t="shared" si="10"/>
        <v>-3.8624951718810351E-4</v>
      </c>
      <c r="D353" t="s">
        <v>555</v>
      </c>
      <c r="E353" s="89">
        <f t="shared" si="11"/>
        <v>3.0890369473046637E-2</v>
      </c>
      <c r="F353" s="214">
        <v>17260</v>
      </c>
      <c r="G353" s="83">
        <v>1790</v>
      </c>
      <c r="H353" s="83">
        <v>1710</v>
      </c>
      <c r="I353" s="83">
        <v>1660</v>
      </c>
      <c r="J353" s="83">
        <v>1560</v>
      </c>
      <c r="K353" s="83">
        <v>1535</v>
      </c>
      <c r="L353" s="83">
        <v>463000</v>
      </c>
      <c r="M353" s="103" t="s">
        <v>340</v>
      </c>
      <c r="N353" s="214">
        <v>17291</v>
      </c>
      <c r="O353" s="214">
        <v>17260</v>
      </c>
      <c r="P353" s="216">
        <v>17.5</v>
      </c>
      <c r="Q353" s="216">
        <v>17.600000000000001</v>
      </c>
      <c r="R353" s="216">
        <v>17.600000000000001</v>
      </c>
      <c r="S353" s="216">
        <v>17.600000000000001</v>
      </c>
      <c r="T353" s="216">
        <v>17.5</v>
      </c>
      <c r="U353" s="216">
        <v>17.399999999999999</v>
      </c>
      <c r="V353" s="216">
        <v>17.3</v>
      </c>
      <c r="W353" s="216">
        <v>17.3</v>
      </c>
      <c r="X353" s="216">
        <v>17.2</v>
      </c>
    </row>
    <row r="354" spans="1:24" x14ac:dyDescent="0.2">
      <c r="A354" t="s">
        <v>638</v>
      </c>
      <c r="B354" s="125" t="s">
        <v>510</v>
      </c>
      <c r="C354" s="89">
        <f t="shared" si="10"/>
        <v>1.8401928415161762E-3</v>
      </c>
      <c r="D354" t="s">
        <v>526</v>
      </c>
      <c r="E354" s="89">
        <f t="shared" si="11"/>
        <v>1.5470792211256334E-2</v>
      </c>
      <c r="F354" s="214">
        <v>49874</v>
      </c>
      <c r="G354" s="83">
        <v>3915</v>
      </c>
      <c r="H354" s="83">
        <v>3815</v>
      </c>
      <c r="I354" s="83">
        <v>3735</v>
      </c>
      <c r="J354" s="83">
        <v>3655</v>
      </c>
      <c r="K354" s="83">
        <v>3625</v>
      </c>
      <c r="L354" s="83">
        <v>69507000</v>
      </c>
      <c r="M354" s="103" t="s">
        <v>510</v>
      </c>
      <c r="N354" s="214">
        <v>49576</v>
      </c>
      <c r="O354" s="214">
        <v>49874</v>
      </c>
      <c r="P354" s="216">
        <v>49.4</v>
      </c>
      <c r="Q354" s="216">
        <v>49.6</v>
      </c>
      <c r="R354" s="216">
        <v>49.8</v>
      </c>
      <c r="S354" s="216">
        <v>50</v>
      </c>
      <c r="T354" s="216">
        <v>50.2</v>
      </c>
      <c r="U354" s="216">
        <v>50.4</v>
      </c>
      <c r="V354" s="216">
        <v>50.5</v>
      </c>
      <c r="W354" s="216">
        <v>50.7</v>
      </c>
      <c r="X354" s="216">
        <v>50.7</v>
      </c>
    </row>
    <row r="355" spans="1:24" x14ac:dyDescent="0.2">
      <c r="A355" t="s">
        <v>630</v>
      </c>
      <c r="B355" s="125" t="s">
        <v>341</v>
      </c>
      <c r="C355" s="89">
        <f t="shared" si="10"/>
        <v>9.497964721845319E-3</v>
      </c>
      <c r="D355" t="s">
        <v>155</v>
      </c>
      <c r="E355" s="89">
        <f t="shared" si="11"/>
        <v>2.3784901758014478E-2</v>
      </c>
      <c r="F355" s="214">
        <v>19162</v>
      </c>
      <c r="G355" s="83">
        <v>2055</v>
      </c>
      <c r="H355" s="83">
        <v>2010</v>
      </c>
      <c r="I355" s="83">
        <v>1915</v>
      </c>
      <c r="J355" s="83">
        <v>1865</v>
      </c>
      <c r="K355" s="83">
        <v>1825</v>
      </c>
      <c r="L355" s="83">
        <v>31528000</v>
      </c>
      <c r="M355" s="103" t="s">
        <v>341</v>
      </c>
      <c r="N355" s="214">
        <v>18729</v>
      </c>
      <c r="O355" s="214">
        <v>19162</v>
      </c>
      <c r="P355" s="216">
        <v>19.100000000000001</v>
      </c>
      <c r="Q355" s="216">
        <v>19.399999999999999</v>
      </c>
      <c r="R355" s="216">
        <v>19.600000000000001</v>
      </c>
      <c r="S355" s="216">
        <v>19.899999999999999</v>
      </c>
      <c r="T355" s="216">
        <v>20.100000000000001</v>
      </c>
      <c r="U355" s="216">
        <v>20.399999999999999</v>
      </c>
      <c r="V355" s="216">
        <v>20.5</v>
      </c>
      <c r="W355" s="216">
        <v>20.7</v>
      </c>
      <c r="X355" s="216">
        <v>20.8</v>
      </c>
    </row>
    <row r="356" spans="1:24" x14ac:dyDescent="0.2">
      <c r="A356" t="s">
        <v>629</v>
      </c>
      <c r="B356" s="125" t="s">
        <v>475</v>
      </c>
      <c r="C356" s="89">
        <f t="shared" si="10"/>
        <v>-3.2124941310203371E-4</v>
      </c>
      <c r="D356" t="s">
        <v>555</v>
      </c>
      <c r="E356" s="89">
        <f t="shared" si="11"/>
        <v>1.5654830087819777E-2</v>
      </c>
      <c r="F356" s="214">
        <v>26978</v>
      </c>
      <c r="G356" s="83">
        <v>2720</v>
      </c>
      <c r="H356" s="83">
        <v>2685</v>
      </c>
      <c r="I356" s="83">
        <v>2625</v>
      </c>
      <c r="J356" s="83">
        <v>2550</v>
      </c>
      <c r="K356" s="83">
        <v>2515</v>
      </c>
      <c r="L356" s="83">
        <v>22212000</v>
      </c>
      <c r="M356" s="103" t="s">
        <v>475</v>
      </c>
      <c r="N356" s="214">
        <v>26844</v>
      </c>
      <c r="O356" s="214">
        <v>26978</v>
      </c>
      <c r="P356" s="216">
        <v>26.7</v>
      </c>
      <c r="Q356" s="216">
        <v>26.7</v>
      </c>
      <c r="R356" s="216">
        <v>26.8</v>
      </c>
      <c r="S356" s="216">
        <v>26.9</v>
      </c>
      <c r="T356" s="216">
        <v>26.9</v>
      </c>
      <c r="U356" s="216">
        <v>26.9</v>
      </c>
      <c r="V356" s="216">
        <v>26.9</v>
      </c>
      <c r="W356" s="216">
        <v>26.9</v>
      </c>
      <c r="X356" s="216">
        <v>26.9</v>
      </c>
    </row>
    <row r="357" spans="1:24" x14ac:dyDescent="0.2">
      <c r="A357" t="s">
        <v>631</v>
      </c>
      <c r="B357" s="125" t="s">
        <v>269</v>
      </c>
      <c r="C357" s="89">
        <f t="shared" si="10"/>
        <v>-6.2880884798693015E-4</v>
      </c>
      <c r="D357" t="s">
        <v>555</v>
      </c>
      <c r="E357" s="89">
        <f t="shared" si="11"/>
        <v>2.7964785085447953E-2</v>
      </c>
      <c r="F357" s="214">
        <v>18907</v>
      </c>
      <c r="G357" s="83">
        <v>2080</v>
      </c>
      <c r="H357" s="83">
        <v>2005</v>
      </c>
      <c r="I357" s="83">
        <v>1930</v>
      </c>
      <c r="J357" s="83">
        <v>1830</v>
      </c>
      <c r="K357" s="83">
        <v>1810</v>
      </c>
      <c r="L357" s="83">
        <v>35620000</v>
      </c>
      <c r="M357" s="103" t="s">
        <v>269</v>
      </c>
      <c r="N357" s="214">
        <v>18816</v>
      </c>
      <c r="O357" s="214">
        <v>18907</v>
      </c>
      <c r="P357" s="216">
        <v>18.8</v>
      </c>
      <c r="Q357" s="216">
        <v>18.8</v>
      </c>
      <c r="R357" s="216">
        <v>18.8</v>
      </c>
      <c r="S357" s="216">
        <v>18.8</v>
      </c>
      <c r="T357" s="216">
        <v>18.8</v>
      </c>
      <c r="U357" s="216">
        <v>18.8</v>
      </c>
      <c r="V357" s="216">
        <v>18.8</v>
      </c>
      <c r="W357" s="216">
        <v>18.8</v>
      </c>
      <c r="X357" s="216">
        <v>18.8</v>
      </c>
    </row>
    <row r="358" spans="1:24" x14ac:dyDescent="0.2">
      <c r="A358" t="s">
        <v>628</v>
      </c>
      <c r="B358" s="125" t="s">
        <v>153</v>
      </c>
      <c r="C358" s="89">
        <f t="shared" si="10"/>
        <v>-4.4128988860474691E-3</v>
      </c>
      <c r="D358" t="s">
        <v>155</v>
      </c>
      <c r="E358" s="89">
        <f t="shared" si="11"/>
        <v>2.8396436525612471E-2</v>
      </c>
      <c r="F358" s="214">
        <v>19161</v>
      </c>
      <c r="G358" s="83">
        <v>1915</v>
      </c>
      <c r="H358" s="83">
        <v>1860</v>
      </c>
      <c r="I358" s="83">
        <v>1810</v>
      </c>
      <c r="J358" s="83">
        <v>1735</v>
      </c>
      <c r="K358" s="83">
        <v>1660</v>
      </c>
      <c r="L358" s="83">
        <v>-2727000</v>
      </c>
      <c r="M358" s="103" t="s">
        <v>153</v>
      </c>
      <c r="N358" s="214">
        <v>19088</v>
      </c>
      <c r="O358" s="214">
        <v>19161</v>
      </c>
      <c r="P358" s="216">
        <v>19.100000000000001</v>
      </c>
      <c r="Q358" s="216">
        <v>19</v>
      </c>
      <c r="R358" s="216">
        <v>18.899999999999999</v>
      </c>
      <c r="S358" s="216">
        <v>18.899999999999999</v>
      </c>
      <c r="T358" s="216">
        <v>18.8</v>
      </c>
      <c r="U358" s="216">
        <v>18.7</v>
      </c>
      <c r="V358" s="216">
        <v>18.600000000000001</v>
      </c>
      <c r="W358" s="216">
        <v>18.5</v>
      </c>
      <c r="X358" s="216">
        <v>18.399999999999999</v>
      </c>
    </row>
    <row r="359" spans="1:24" x14ac:dyDescent="0.2">
      <c r="A359" t="s">
        <v>631</v>
      </c>
      <c r="B359" s="125" t="s">
        <v>270</v>
      </c>
      <c r="C359" s="89">
        <f t="shared" si="10"/>
        <v>-7.559283421352387E-3</v>
      </c>
      <c r="D359" t="s">
        <v>155</v>
      </c>
      <c r="E359" s="89">
        <f t="shared" si="11"/>
        <v>1.5046296296296295E-2</v>
      </c>
      <c r="F359" s="214">
        <v>15022</v>
      </c>
      <c r="G359" s="83">
        <v>915</v>
      </c>
      <c r="H359" s="83">
        <v>895</v>
      </c>
      <c r="I359" s="83">
        <v>840</v>
      </c>
      <c r="J359" s="83">
        <v>820</v>
      </c>
      <c r="K359" s="83">
        <v>850</v>
      </c>
      <c r="L359" s="83">
        <v>12297000</v>
      </c>
      <c r="M359" s="103" t="s">
        <v>270</v>
      </c>
      <c r="N359" s="214">
        <v>14985</v>
      </c>
      <c r="O359" s="214">
        <v>15022</v>
      </c>
      <c r="P359" s="216">
        <v>15.2</v>
      </c>
      <c r="Q359" s="216">
        <v>15.2</v>
      </c>
      <c r="R359" s="216">
        <v>15</v>
      </c>
      <c r="S359" s="216">
        <v>14.8</v>
      </c>
      <c r="T359" s="216">
        <v>14.6</v>
      </c>
      <c r="U359" s="216">
        <v>14.4</v>
      </c>
      <c r="V359" s="216">
        <v>14.3</v>
      </c>
      <c r="W359" s="216">
        <v>14.1</v>
      </c>
      <c r="X359" s="216">
        <v>14</v>
      </c>
    </row>
    <row r="360" spans="1:24" x14ac:dyDescent="0.2">
      <c r="A360" t="s">
        <v>633</v>
      </c>
      <c r="B360" s="125" t="s">
        <v>396</v>
      </c>
      <c r="C360" s="89">
        <f t="shared" si="10"/>
        <v>5.6977936555191689E-3</v>
      </c>
      <c r="D360" t="s">
        <v>555</v>
      </c>
      <c r="E360" s="89">
        <f t="shared" si="11"/>
        <v>1.9142148174406241E-2</v>
      </c>
      <c r="F360" s="214">
        <v>107488</v>
      </c>
      <c r="G360" s="83">
        <v>11800</v>
      </c>
      <c r="H360" s="83">
        <v>11660</v>
      </c>
      <c r="I360" s="83">
        <v>11300</v>
      </c>
      <c r="J360" s="83">
        <v>10940</v>
      </c>
      <c r="K360" s="83">
        <v>10720</v>
      </c>
      <c r="L360" s="83">
        <v>260467000</v>
      </c>
      <c r="M360" s="103" t="s">
        <v>396</v>
      </c>
      <c r="N360" s="214">
        <v>105636</v>
      </c>
      <c r="O360" s="214">
        <v>107488</v>
      </c>
      <c r="P360" s="216">
        <v>106.5</v>
      </c>
      <c r="Q360" s="216">
        <v>107.4</v>
      </c>
      <c r="R360" s="216">
        <v>108.1</v>
      </c>
      <c r="S360" s="216">
        <v>108.9</v>
      </c>
      <c r="T360" s="216">
        <v>109.8</v>
      </c>
      <c r="U360" s="216">
        <v>110.6</v>
      </c>
      <c r="V360" s="216">
        <v>111.4</v>
      </c>
      <c r="W360" s="216">
        <v>112.2</v>
      </c>
      <c r="X360" s="216">
        <v>113</v>
      </c>
    </row>
    <row r="361" spans="1:24" x14ac:dyDescent="0.2">
      <c r="A361" t="s">
        <v>632</v>
      </c>
      <c r="B361" s="125" t="s">
        <v>198</v>
      </c>
      <c r="C361" s="89">
        <f t="shared" si="10"/>
        <v>7.776049766718507E-4</v>
      </c>
      <c r="D361" t="s">
        <v>155</v>
      </c>
      <c r="E361" s="89">
        <f t="shared" si="11"/>
        <v>1.6644765659220323E-2</v>
      </c>
      <c r="F361" s="214">
        <v>25720</v>
      </c>
      <c r="G361" s="83">
        <v>2385</v>
      </c>
      <c r="H361" s="83">
        <v>2340</v>
      </c>
      <c r="I361" s="83">
        <v>2290</v>
      </c>
      <c r="J361" s="83">
        <v>2205</v>
      </c>
      <c r="K361" s="83">
        <v>2195</v>
      </c>
      <c r="L361" s="83">
        <v>73013000</v>
      </c>
      <c r="M361" s="103" t="s">
        <v>198</v>
      </c>
      <c r="N361" s="214">
        <v>25611</v>
      </c>
      <c r="O361" s="214">
        <v>25720</v>
      </c>
      <c r="P361" s="216">
        <v>25.6</v>
      </c>
      <c r="Q361" s="216">
        <v>25.6</v>
      </c>
      <c r="R361" s="216">
        <v>25.7</v>
      </c>
      <c r="S361" s="216">
        <v>25.8</v>
      </c>
      <c r="T361" s="216">
        <v>25.9</v>
      </c>
      <c r="U361" s="216">
        <v>25.9</v>
      </c>
      <c r="V361" s="216">
        <v>25.9</v>
      </c>
      <c r="W361" s="216">
        <v>25.9</v>
      </c>
      <c r="X361" s="216">
        <v>25.9</v>
      </c>
    </row>
    <row r="362" spans="1:24" x14ac:dyDescent="0.2">
      <c r="A362" t="s">
        <v>633</v>
      </c>
      <c r="B362" s="125" t="s">
        <v>397</v>
      </c>
      <c r="C362" s="89">
        <f t="shared" si="10"/>
        <v>-3.1767902935660431E-3</v>
      </c>
      <c r="D362" t="s">
        <v>555</v>
      </c>
      <c r="E362" s="89">
        <f t="shared" si="11"/>
        <v>2.0392749244712991E-2</v>
      </c>
      <c r="F362" s="214">
        <v>14515</v>
      </c>
      <c r="G362" s="83">
        <v>1400</v>
      </c>
      <c r="H362" s="83">
        <v>1375</v>
      </c>
      <c r="I362" s="83">
        <v>1315</v>
      </c>
      <c r="J362" s="83">
        <v>1265</v>
      </c>
      <c r="K362" s="83">
        <v>1265</v>
      </c>
      <c r="L362" s="83">
        <v>56922000</v>
      </c>
      <c r="M362" s="103" t="s">
        <v>397</v>
      </c>
      <c r="N362" s="214">
        <v>14258</v>
      </c>
      <c r="O362" s="214">
        <v>14515</v>
      </c>
      <c r="P362" s="216">
        <v>14.2</v>
      </c>
      <c r="Q362" s="216">
        <v>14.2</v>
      </c>
      <c r="R362" s="216">
        <v>14.1</v>
      </c>
      <c r="S362" s="216">
        <v>14.1</v>
      </c>
      <c r="T362" s="216">
        <v>14.1</v>
      </c>
      <c r="U362" s="216">
        <v>14</v>
      </c>
      <c r="V362" s="216">
        <v>14</v>
      </c>
      <c r="W362" s="216">
        <v>14</v>
      </c>
      <c r="X362" s="216">
        <v>14.1</v>
      </c>
    </row>
    <row r="363" spans="1:24" x14ac:dyDescent="0.2">
      <c r="A363" t="s">
        <v>634</v>
      </c>
      <c r="B363" s="125" t="s">
        <v>220</v>
      </c>
      <c r="C363" s="89">
        <f t="shared" si="10"/>
        <v>-1.2315665618232679E-3</v>
      </c>
      <c r="D363" t="s">
        <v>555</v>
      </c>
      <c r="E363" s="89">
        <f t="shared" si="11"/>
        <v>3.0456852791878174E-2</v>
      </c>
      <c r="F363" s="214">
        <v>24269</v>
      </c>
      <c r="G363" s="83">
        <v>2110</v>
      </c>
      <c r="H363" s="83">
        <v>2050</v>
      </c>
      <c r="I363" s="83">
        <v>1985</v>
      </c>
      <c r="J363" s="83">
        <v>1895</v>
      </c>
      <c r="K363" s="83">
        <v>1810</v>
      </c>
      <c r="L363" s="83">
        <v>30265000</v>
      </c>
      <c r="M363" s="103" t="s">
        <v>220</v>
      </c>
      <c r="N363" s="214">
        <v>24219</v>
      </c>
      <c r="O363" s="214">
        <v>24269</v>
      </c>
      <c r="P363" s="216">
        <v>23.9</v>
      </c>
      <c r="Q363" s="216">
        <v>24</v>
      </c>
      <c r="R363" s="216">
        <v>24</v>
      </c>
      <c r="S363" s="216">
        <v>24</v>
      </c>
      <c r="T363" s="216">
        <v>24.1</v>
      </c>
      <c r="U363" s="216">
        <v>24</v>
      </c>
      <c r="V363" s="216">
        <v>24</v>
      </c>
      <c r="W363" s="216">
        <v>24</v>
      </c>
      <c r="X363" s="216">
        <v>24</v>
      </c>
    </row>
    <row r="364" spans="1:24" x14ac:dyDescent="0.2">
      <c r="A364" t="s">
        <v>631</v>
      </c>
      <c r="B364" s="125" t="s">
        <v>271</v>
      </c>
      <c r="C364" s="89">
        <f t="shared" si="10"/>
        <v>9.7394294544287199E-4</v>
      </c>
      <c r="D364" t="s">
        <v>155</v>
      </c>
      <c r="E364" s="89">
        <f t="shared" si="11"/>
        <v>2.2454629344816981E-2</v>
      </c>
      <c r="F364" s="214">
        <v>40842</v>
      </c>
      <c r="G364" s="83">
        <v>3435</v>
      </c>
      <c r="H364" s="83">
        <v>3350</v>
      </c>
      <c r="I364" s="83">
        <v>3240</v>
      </c>
      <c r="J364" s="83">
        <v>3160</v>
      </c>
      <c r="K364" s="83">
        <v>3070</v>
      </c>
      <c r="L364" s="83">
        <v>31782000</v>
      </c>
      <c r="M364" s="103" t="s">
        <v>271</v>
      </c>
      <c r="N364" s="214">
        <v>40878</v>
      </c>
      <c r="O364" s="214">
        <v>40842</v>
      </c>
      <c r="P364" s="216">
        <v>40.9</v>
      </c>
      <c r="Q364" s="216">
        <v>41</v>
      </c>
      <c r="R364" s="216">
        <v>41</v>
      </c>
      <c r="S364" s="216">
        <v>41.1</v>
      </c>
      <c r="T364" s="216">
        <v>41.2</v>
      </c>
      <c r="U364" s="216">
        <v>41.3</v>
      </c>
      <c r="V364" s="216">
        <v>41.4</v>
      </c>
      <c r="W364" s="216">
        <v>41.3</v>
      </c>
      <c r="X364" s="216">
        <v>41.2</v>
      </c>
    </row>
    <row r="365" spans="1:24" x14ac:dyDescent="0.2">
      <c r="A365" t="s">
        <v>630</v>
      </c>
      <c r="B365" s="125" t="s">
        <v>342</v>
      </c>
      <c r="C365" s="89">
        <f t="shared" si="10"/>
        <v>-4.9958680790323793E-3</v>
      </c>
      <c r="D365" t="s">
        <v>555</v>
      </c>
      <c r="E365" s="89">
        <f t="shared" si="11"/>
        <v>1.6270745200130166E-2</v>
      </c>
      <c r="F365" s="214">
        <v>23664</v>
      </c>
      <c r="G365" s="83">
        <v>3230</v>
      </c>
      <c r="H365" s="83">
        <v>3135</v>
      </c>
      <c r="I365" s="83">
        <v>3045</v>
      </c>
      <c r="J365" s="83">
        <v>2975</v>
      </c>
      <c r="K365" s="83">
        <v>2980</v>
      </c>
      <c r="L365" s="83">
        <v>29599000</v>
      </c>
      <c r="M365" s="103" t="s">
        <v>342</v>
      </c>
      <c r="N365" s="214">
        <v>23442</v>
      </c>
      <c r="O365" s="214">
        <v>23664</v>
      </c>
      <c r="P365" s="216">
        <v>22.9</v>
      </c>
      <c r="Q365" s="216">
        <v>22.9</v>
      </c>
      <c r="R365" s="216">
        <v>23</v>
      </c>
      <c r="S365" s="216">
        <v>23</v>
      </c>
      <c r="T365" s="216">
        <v>23</v>
      </c>
      <c r="U365" s="216">
        <v>23</v>
      </c>
      <c r="V365" s="216">
        <v>22.9</v>
      </c>
      <c r="W365" s="216">
        <v>22.8</v>
      </c>
      <c r="X365" s="216">
        <v>22.6</v>
      </c>
    </row>
    <row r="366" spans="1:24" x14ac:dyDescent="0.2">
      <c r="A366" t="s">
        <v>636</v>
      </c>
      <c r="B366" s="125" t="s">
        <v>297</v>
      </c>
      <c r="C366" s="89">
        <f t="shared" si="10"/>
        <v>-1.3694261541636183E-3</v>
      </c>
      <c r="D366" t="s">
        <v>555</v>
      </c>
      <c r="E366" s="89">
        <f t="shared" si="11"/>
        <v>2.048594568842306E-2</v>
      </c>
      <c r="F366" s="214">
        <v>23692</v>
      </c>
      <c r="G366" s="83">
        <v>2200</v>
      </c>
      <c r="H366" s="83">
        <v>2185</v>
      </c>
      <c r="I366" s="83">
        <v>2115</v>
      </c>
      <c r="J366" s="83">
        <v>2010</v>
      </c>
      <c r="K366" s="83">
        <v>1985</v>
      </c>
      <c r="L366" s="83">
        <v>30548000</v>
      </c>
      <c r="M366" s="103" t="s">
        <v>297</v>
      </c>
      <c r="N366" s="214">
        <v>23504</v>
      </c>
      <c r="O366" s="214">
        <v>23692</v>
      </c>
      <c r="P366" s="216">
        <v>23</v>
      </c>
      <c r="Q366" s="216">
        <v>23</v>
      </c>
      <c r="R366" s="216">
        <v>23</v>
      </c>
      <c r="S366" s="216">
        <v>23.1</v>
      </c>
      <c r="T366" s="216">
        <v>23.2</v>
      </c>
      <c r="U366" s="216">
        <v>23.3</v>
      </c>
      <c r="V366" s="216">
        <v>23.3</v>
      </c>
      <c r="W366" s="216">
        <v>23.4</v>
      </c>
      <c r="X366" s="216">
        <v>23.4</v>
      </c>
    </row>
    <row r="367" spans="1:24" x14ac:dyDescent="0.2">
      <c r="A367" t="s">
        <v>637</v>
      </c>
      <c r="B367" s="125" t="s">
        <v>177</v>
      </c>
      <c r="C367" s="89">
        <f t="shared" si="10"/>
        <v>1.1885733021845158E-3</v>
      </c>
      <c r="D367" t="s">
        <v>155</v>
      </c>
      <c r="E367" s="89">
        <f t="shared" si="11"/>
        <v>2.119071644803229E-2</v>
      </c>
      <c r="F367" s="214">
        <v>13555</v>
      </c>
      <c r="G367" s="83">
        <v>1045</v>
      </c>
      <c r="H367" s="83">
        <v>1030</v>
      </c>
      <c r="I367" s="83">
        <v>990</v>
      </c>
      <c r="J367" s="83">
        <v>950</v>
      </c>
      <c r="K367" s="83">
        <v>940</v>
      </c>
      <c r="L367" s="83">
        <v>624000</v>
      </c>
      <c r="M367" s="103" t="s">
        <v>177</v>
      </c>
      <c r="N367" s="214">
        <v>13596</v>
      </c>
      <c r="O367" s="214">
        <v>13555</v>
      </c>
      <c r="P367" s="216">
        <v>13.8</v>
      </c>
      <c r="Q367" s="216">
        <v>13.8</v>
      </c>
      <c r="R367" s="216">
        <v>13.7</v>
      </c>
      <c r="S367" s="216">
        <v>13.7</v>
      </c>
      <c r="T367" s="216">
        <v>13.7</v>
      </c>
      <c r="U367" s="216">
        <v>13.7</v>
      </c>
      <c r="V367" s="216">
        <v>13.7</v>
      </c>
      <c r="W367" s="216">
        <v>13.7</v>
      </c>
      <c r="X367" s="216">
        <v>13.7</v>
      </c>
    </row>
    <row r="368" spans="1:24" x14ac:dyDescent="0.2">
      <c r="A368" t="s">
        <v>631</v>
      </c>
      <c r="B368" s="125" t="s">
        <v>272</v>
      </c>
      <c r="C368" s="89">
        <f t="shared" si="10"/>
        <v>-5.7652895094715472E-3</v>
      </c>
      <c r="D368" t="s">
        <v>155</v>
      </c>
      <c r="E368" s="89">
        <f t="shared" si="11"/>
        <v>1.872340425531915E-2</v>
      </c>
      <c r="F368" s="214">
        <v>29005</v>
      </c>
      <c r="G368" s="83">
        <v>2460</v>
      </c>
      <c r="H368" s="83">
        <v>2405</v>
      </c>
      <c r="I368" s="83">
        <v>2350</v>
      </c>
      <c r="J368" s="83">
        <v>2295</v>
      </c>
      <c r="K368" s="83">
        <v>2240</v>
      </c>
      <c r="L368" s="83">
        <v>66468000</v>
      </c>
      <c r="M368" s="103" t="s">
        <v>272</v>
      </c>
      <c r="N368" s="214">
        <v>28904</v>
      </c>
      <c r="O368" s="214">
        <v>29005</v>
      </c>
      <c r="P368" s="216">
        <v>29</v>
      </c>
      <c r="Q368" s="216">
        <v>28.9</v>
      </c>
      <c r="R368" s="216">
        <v>28.7</v>
      </c>
      <c r="S368" s="216">
        <v>28.5</v>
      </c>
      <c r="T368" s="216">
        <v>28.3</v>
      </c>
      <c r="U368" s="216">
        <v>28.1</v>
      </c>
      <c r="V368" s="216">
        <v>27.9</v>
      </c>
      <c r="W368" s="216">
        <v>27.7</v>
      </c>
      <c r="X368" s="216">
        <v>27.5</v>
      </c>
    </row>
    <row r="369" spans="1:24" x14ac:dyDescent="0.2">
      <c r="A369" t="s">
        <v>629</v>
      </c>
      <c r="B369" s="125" t="s">
        <v>476</v>
      </c>
      <c r="C369" s="89">
        <f t="shared" si="10"/>
        <v>-3.0927887579421491E-3</v>
      </c>
      <c r="D369" t="s">
        <v>555</v>
      </c>
      <c r="E369" s="89">
        <f t="shared" si="11"/>
        <v>1.7732742241925271E-2</v>
      </c>
      <c r="F369" s="214">
        <v>21807</v>
      </c>
      <c r="G369" s="83">
        <v>1665</v>
      </c>
      <c r="H369" s="83">
        <v>1615</v>
      </c>
      <c r="I369" s="83">
        <v>1565</v>
      </c>
      <c r="J369" s="83">
        <v>1525</v>
      </c>
      <c r="K369" s="83">
        <v>1525</v>
      </c>
      <c r="L369" s="83">
        <v>3652000</v>
      </c>
      <c r="M369" s="103" t="s">
        <v>476</v>
      </c>
      <c r="N369" s="214">
        <v>21833</v>
      </c>
      <c r="O369" s="214">
        <v>21807</v>
      </c>
      <c r="P369" s="216">
        <v>21.5</v>
      </c>
      <c r="Q369" s="216">
        <v>21.5</v>
      </c>
      <c r="R369" s="216">
        <v>21.4</v>
      </c>
      <c r="S369" s="216">
        <v>21.4</v>
      </c>
      <c r="T369" s="216">
        <v>21.3</v>
      </c>
      <c r="U369" s="216">
        <v>21.3</v>
      </c>
      <c r="V369" s="216">
        <v>21.3</v>
      </c>
      <c r="W369" s="216">
        <v>21.2</v>
      </c>
      <c r="X369" s="216">
        <v>21.2</v>
      </c>
    </row>
    <row r="370" spans="1:24" x14ac:dyDescent="0.2">
      <c r="A370" t="s">
        <v>636</v>
      </c>
      <c r="B370" s="125" t="s">
        <v>298</v>
      </c>
      <c r="C370" s="89">
        <f t="shared" si="10"/>
        <v>3.7240950019854684E-3</v>
      </c>
      <c r="D370" t="s">
        <v>555</v>
      </c>
      <c r="E370" s="89">
        <f t="shared" si="11"/>
        <v>2.6761446790717121E-2</v>
      </c>
      <c r="F370" s="214">
        <v>51765</v>
      </c>
      <c r="G370" s="83">
        <v>5105</v>
      </c>
      <c r="H370" s="83">
        <v>4990</v>
      </c>
      <c r="I370" s="83">
        <v>4805</v>
      </c>
      <c r="J370" s="83">
        <v>4550</v>
      </c>
      <c r="K370" s="83">
        <v>4465</v>
      </c>
      <c r="L370" s="83">
        <v>78150000</v>
      </c>
      <c r="M370" s="103" t="s">
        <v>298</v>
      </c>
      <c r="N370" s="214">
        <v>51522</v>
      </c>
      <c r="O370" s="214">
        <v>51765</v>
      </c>
      <c r="P370" s="216">
        <v>51.7</v>
      </c>
      <c r="Q370" s="216">
        <v>52</v>
      </c>
      <c r="R370" s="216">
        <v>52.3</v>
      </c>
      <c r="S370" s="216">
        <v>52.5</v>
      </c>
      <c r="T370" s="216">
        <v>52.7</v>
      </c>
      <c r="U370" s="216">
        <v>53</v>
      </c>
      <c r="V370" s="216">
        <v>53.2</v>
      </c>
      <c r="W370" s="216">
        <v>53.3</v>
      </c>
      <c r="X370" s="216">
        <v>53.5</v>
      </c>
    </row>
    <row r="371" spans="1:24" x14ac:dyDescent="0.2">
      <c r="A371" t="s">
        <v>630</v>
      </c>
      <c r="B371" s="125" t="s">
        <v>343</v>
      </c>
      <c r="C371" s="89">
        <f t="shared" si="10"/>
        <v>1.3677990932255758E-3</v>
      </c>
      <c r="D371" t="s">
        <v>555</v>
      </c>
      <c r="E371" s="89">
        <f t="shared" si="11"/>
        <v>1.6923076923076923E-2</v>
      </c>
      <c r="F371" s="214">
        <v>16003</v>
      </c>
      <c r="G371" s="83">
        <v>1360</v>
      </c>
      <c r="H371" s="83">
        <v>1320</v>
      </c>
      <c r="I371" s="83">
        <v>1300</v>
      </c>
      <c r="J371" s="83">
        <v>1270</v>
      </c>
      <c r="K371" s="83">
        <v>1250</v>
      </c>
      <c r="L371" s="83">
        <v>9658000</v>
      </c>
      <c r="M371" s="103" t="s">
        <v>343</v>
      </c>
      <c r="N371" s="214">
        <v>15804</v>
      </c>
      <c r="O371" s="214">
        <v>16003</v>
      </c>
      <c r="P371" s="216">
        <v>16</v>
      </c>
      <c r="Q371" s="216">
        <v>16.100000000000001</v>
      </c>
      <c r="R371" s="216">
        <v>16.2</v>
      </c>
      <c r="S371" s="216">
        <v>16.2</v>
      </c>
      <c r="T371" s="216">
        <v>16.3</v>
      </c>
      <c r="U371" s="216">
        <v>16.3</v>
      </c>
      <c r="V371" s="216">
        <v>16.3</v>
      </c>
      <c r="W371" s="216">
        <v>16.3</v>
      </c>
      <c r="X371" s="216">
        <v>16.2</v>
      </c>
    </row>
    <row r="372" spans="1:24" x14ac:dyDescent="0.2">
      <c r="A372" t="s">
        <v>636</v>
      </c>
      <c r="B372" s="125" t="s">
        <v>299</v>
      </c>
      <c r="C372" s="89">
        <f t="shared" si="10"/>
        <v>7.4915954197170599E-3</v>
      </c>
      <c r="D372" t="s">
        <v>555</v>
      </c>
      <c r="E372" s="89">
        <f t="shared" si="11"/>
        <v>2.9520295202952029E-2</v>
      </c>
      <c r="F372" s="214">
        <v>13022</v>
      </c>
      <c r="G372" s="83">
        <v>1160</v>
      </c>
      <c r="H372" s="83">
        <v>1135</v>
      </c>
      <c r="I372" s="83">
        <v>1100</v>
      </c>
      <c r="J372" s="83">
        <v>1025</v>
      </c>
      <c r="K372" s="83">
        <v>1000</v>
      </c>
      <c r="L372" s="83">
        <v>18869000</v>
      </c>
      <c r="M372" s="103" t="s">
        <v>299</v>
      </c>
      <c r="N372" s="214">
        <v>12701</v>
      </c>
      <c r="O372" s="214">
        <v>13022</v>
      </c>
      <c r="P372" s="216">
        <v>12.8</v>
      </c>
      <c r="Q372" s="216">
        <v>13</v>
      </c>
      <c r="R372" s="216">
        <v>13.1</v>
      </c>
      <c r="S372" s="216">
        <v>13.2</v>
      </c>
      <c r="T372" s="216">
        <v>13.3</v>
      </c>
      <c r="U372" s="216">
        <v>13.4</v>
      </c>
      <c r="V372" s="216">
        <v>13.6</v>
      </c>
      <c r="W372" s="216">
        <v>13.7</v>
      </c>
      <c r="X372" s="216">
        <v>13.9</v>
      </c>
    </row>
    <row r="373" spans="1:24" x14ac:dyDescent="0.2">
      <c r="A373" t="s">
        <v>629</v>
      </c>
      <c r="B373" s="125" t="s">
        <v>477</v>
      </c>
      <c r="C373" s="89">
        <f t="shared" si="10"/>
        <v>-1.7916249126962436E-3</v>
      </c>
      <c r="D373" t="s">
        <v>555</v>
      </c>
      <c r="E373" s="89">
        <f t="shared" si="11"/>
        <v>2.178649237472767E-2</v>
      </c>
      <c r="F373" s="214">
        <v>14636</v>
      </c>
      <c r="G373" s="83">
        <v>1435</v>
      </c>
      <c r="H373" s="83">
        <v>1435</v>
      </c>
      <c r="I373" s="83">
        <v>1390</v>
      </c>
      <c r="J373" s="83">
        <v>1340</v>
      </c>
      <c r="K373" s="83">
        <v>1285</v>
      </c>
      <c r="L373" s="83">
        <v>23907000</v>
      </c>
      <c r="M373" s="103" t="s">
        <v>477</v>
      </c>
      <c r="N373" s="214">
        <v>14537</v>
      </c>
      <c r="O373" s="214">
        <v>14636</v>
      </c>
      <c r="P373" s="216">
        <v>14.3</v>
      </c>
      <c r="Q373" s="216">
        <v>14.3</v>
      </c>
      <c r="R373" s="216">
        <v>14.4</v>
      </c>
      <c r="S373" s="216">
        <v>14.4</v>
      </c>
      <c r="T373" s="216">
        <v>14.4</v>
      </c>
      <c r="U373" s="216">
        <v>14.4</v>
      </c>
      <c r="V373" s="216">
        <v>14.4</v>
      </c>
      <c r="W373" s="216">
        <v>14.4</v>
      </c>
      <c r="X373" s="216">
        <v>14.4</v>
      </c>
    </row>
    <row r="374" spans="1:24" x14ac:dyDescent="0.2">
      <c r="A374" t="s">
        <v>630</v>
      </c>
      <c r="B374" s="125" t="s">
        <v>344</v>
      </c>
      <c r="C374" s="89">
        <f t="shared" si="10"/>
        <v>5.6507879095816522E-3</v>
      </c>
      <c r="D374" t="s">
        <v>526</v>
      </c>
      <c r="E374" s="89">
        <f t="shared" si="11"/>
        <v>2.6128688233202985E-2</v>
      </c>
      <c r="F374" s="214">
        <v>154826</v>
      </c>
      <c r="G374" s="83">
        <v>12080</v>
      </c>
      <c r="H374" s="83">
        <v>11580</v>
      </c>
      <c r="I374" s="83">
        <v>11180</v>
      </c>
      <c r="J374" s="83">
        <v>10810</v>
      </c>
      <c r="K374" s="83">
        <v>10610</v>
      </c>
      <c r="L374" s="83">
        <v>475424000</v>
      </c>
      <c r="M374" s="103" t="s">
        <v>344</v>
      </c>
      <c r="N374" s="214">
        <v>153750</v>
      </c>
      <c r="O374" s="214">
        <v>154826</v>
      </c>
      <c r="P374" s="216">
        <v>155.30000000000001</v>
      </c>
      <c r="Q374" s="216">
        <v>156.80000000000001</v>
      </c>
      <c r="R374" s="216">
        <v>157.69999999999999</v>
      </c>
      <c r="S374" s="216">
        <v>158.6</v>
      </c>
      <c r="T374" s="216">
        <v>159.1</v>
      </c>
      <c r="U374" s="216">
        <v>159.6</v>
      </c>
      <c r="V374" s="216">
        <v>160.5</v>
      </c>
      <c r="W374" s="216">
        <v>161.5</v>
      </c>
      <c r="X374" s="216">
        <v>162.69999999999999</v>
      </c>
    </row>
    <row r="375" spans="1:24" x14ac:dyDescent="0.2">
      <c r="A375" t="s">
        <v>631</v>
      </c>
      <c r="B375" s="125" t="s">
        <v>273</v>
      </c>
      <c r="C375" s="89">
        <f t="shared" si="10"/>
        <v>-8.802607475079105E-4</v>
      </c>
      <c r="D375" t="s">
        <v>555</v>
      </c>
      <c r="E375" s="89">
        <f t="shared" si="11"/>
        <v>1.6359206404455272E-2</v>
      </c>
      <c r="F375" s="214">
        <v>28022</v>
      </c>
      <c r="G375" s="83">
        <v>3000</v>
      </c>
      <c r="H375" s="83">
        <v>2930</v>
      </c>
      <c r="I375" s="83">
        <v>2885</v>
      </c>
      <c r="J375" s="83">
        <v>2785</v>
      </c>
      <c r="K375" s="83">
        <v>2765</v>
      </c>
      <c r="L375" s="83">
        <v>63603000</v>
      </c>
      <c r="M375" s="103" t="s">
        <v>273</v>
      </c>
      <c r="N375" s="214">
        <v>27727</v>
      </c>
      <c r="O375" s="214">
        <v>28022</v>
      </c>
      <c r="P375" s="216">
        <v>27.5</v>
      </c>
      <c r="Q375" s="216">
        <v>27.5</v>
      </c>
      <c r="R375" s="216">
        <v>27.6</v>
      </c>
      <c r="S375" s="216">
        <v>27.7</v>
      </c>
      <c r="T375" s="216">
        <v>27.7</v>
      </c>
      <c r="U375" s="216">
        <v>27.8</v>
      </c>
      <c r="V375" s="216">
        <v>27.8</v>
      </c>
      <c r="W375" s="216">
        <v>27.8</v>
      </c>
      <c r="X375" s="216">
        <v>27.8</v>
      </c>
    </row>
    <row r="376" spans="1:24" x14ac:dyDescent="0.2">
      <c r="A376" t="s">
        <v>630</v>
      </c>
      <c r="B376" s="125" t="s">
        <v>345</v>
      </c>
      <c r="C376" s="89">
        <f t="shared" si="10"/>
        <v>9.3913316829737914E-3</v>
      </c>
      <c r="D376" t="s">
        <v>155</v>
      </c>
      <c r="E376" s="89">
        <f t="shared" si="11"/>
        <v>2.4096385542168676E-2</v>
      </c>
      <c r="F376" s="214">
        <v>16966</v>
      </c>
      <c r="G376" s="83">
        <v>1850</v>
      </c>
      <c r="H376" s="83">
        <v>1810</v>
      </c>
      <c r="I376" s="83">
        <v>1740</v>
      </c>
      <c r="J376" s="83">
        <v>1675</v>
      </c>
      <c r="K376" s="83">
        <v>1640</v>
      </c>
      <c r="L376" s="83">
        <v>52270000</v>
      </c>
      <c r="M376" s="103" t="s">
        <v>345</v>
      </c>
      <c r="N376" s="214">
        <v>16894</v>
      </c>
      <c r="O376" s="214">
        <v>16966</v>
      </c>
      <c r="P376" s="216">
        <v>17.399999999999999</v>
      </c>
      <c r="Q376" s="216">
        <v>17.7</v>
      </c>
      <c r="R376" s="216">
        <v>17.8</v>
      </c>
      <c r="S376" s="216">
        <v>17.899999999999999</v>
      </c>
      <c r="T376" s="216">
        <v>17.899999999999999</v>
      </c>
      <c r="U376" s="216">
        <v>18.100000000000001</v>
      </c>
      <c r="V376" s="216">
        <v>18.2</v>
      </c>
      <c r="W376" s="216">
        <v>18.3</v>
      </c>
      <c r="X376" s="216">
        <v>18.399999999999999</v>
      </c>
    </row>
    <row r="377" spans="1:24" x14ac:dyDescent="0.2">
      <c r="A377" t="s">
        <v>633</v>
      </c>
      <c r="B377" s="125" t="s">
        <v>398</v>
      </c>
      <c r="C377" s="89">
        <f t="shared" si="10"/>
        <v>7.5369907572692292E-4</v>
      </c>
      <c r="D377" t="s">
        <v>555</v>
      </c>
      <c r="E377" s="89">
        <f t="shared" si="11"/>
        <v>2.51979841612671E-2</v>
      </c>
      <c r="F377" s="214">
        <v>14005</v>
      </c>
      <c r="G377" s="83">
        <v>1475</v>
      </c>
      <c r="H377" s="83">
        <v>1445</v>
      </c>
      <c r="I377" s="83">
        <v>1390</v>
      </c>
      <c r="J377" s="83">
        <v>1335</v>
      </c>
      <c r="K377" s="83">
        <v>1300</v>
      </c>
      <c r="L377" s="83">
        <v>16779000</v>
      </c>
      <c r="M377" s="103" t="s">
        <v>398</v>
      </c>
      <c r="N377" s="214">
        <v>13839</v>
      </c>
      <c r="O377" s="214">
        <v>14005</v>
      </c>
      <c r="P377" s="216">
        <v>13.9</v>
      </c>
      <c r="Q377" s="216">
        <v>13.9</v>
      </c>
      <c r="R377" s="216">
        <v>14</v>
      </c>
      <c r="S377" s="216">
        <v>14</v>
      </c>
      <c r="T377" s="216">
        <v>14.1</v>
      </c>
      <c r="U377" s="216">
        <v>14.1</v>
      </c>
      <c r="V377" s="216">
        <v>14.1</v>
      </c>
      <c r="W377" s="216">
        <v>14.1</v>
      </c>
      <c r="X377" s="216">
        <v>14.1</v>
      </c>
    </row>
    <row r="378" spans="1:24" x14ac:dyDescent="0.2">
      <c r="A378" t="s">
        <v>635</v>
      </c>
      <c r="B378" s="125" t="s">
        <v>516</v>
      </c>
      <c r="C378" s="89">
        <f t="shared" si="10"/>
        <v>4.0093684252312332E-3</v>
      </c>
      <c r="D378" t="s">
        <v>555</v>
      </c>
      <c r="E378" s="89">
        <f t="shared" si="11"/>
        <v>1.8655097613882864E-2</v>
      </c>
      <c r="F378" s="214">
        <v>22392</v>
      </c>
      <c r="G378" s="83">
        <v>2420</v>
      </c>
      <c r="H378" s="83">
        <v>2345</v>
      </c>
      <c r="I378" s="83">
        <v>2315</v>
      </c>
      <c r="J378" s="83">
        <v>2240</v>
      </c>
      <c r="K378" s="83">
        <v>2205</v>
      </c>
      <c r="L378" s="83">
        <v>-10391000</v>
      </c>
      <c r="M378" s="103" t="s">
        <v>516</v>
      </c>
      <c r="N378" s="214">
        <v>22459</v>
      </c>
      <c r="O378" s="214">
        <v>22392</v>
      </c>
      <c r="P378" s="216">
        <v>23.2</v>
      </c>
      <c r="Q378" s="216">
        <v>23</v>
      </c>
      <c r="R378" s="216">
        <v>22.9</v>
      </c>
      <c r="S378" s="216">
        <v>22.8</v>
      </c>
      <c r="T378" s="216">
        <v>22.9</v>
      </c>
      <c r="U378" s="216">
        <v>23</v>
      </c>
      <c r="V378" s="216">
        <v>23</v>
      </c>
      <c r="W378" s="216">
        <v>23.1</v>
      </c>
      <c r="X378" s="216">
        <v>23.2</v>
      </c>
    </row>
    <row r="379" spans="1:24" x14ac:dyDescent="0.2">
      <c r="A379" t="s">
        <v>636</v>
      </c>
      <c r="B379" s="125" t="s">
        <v>300</v>
      </c>
      <c r="C379" s="89">
        <f t="shared" si="10"/>
        <v>1.50861312844262E-3</v>
      </c>
      <c r="D379" t="s">
        <v>155</v>
      </c>
      <c r="E379" s="89">
        <f t="shared" si="11"/>
        <v>1.7292576419213973E-2</v>
      </c>
      <c r="F379" s="214">
        <v>63340</v>
      </c>
      <c r="G379" s="83">
        <v>5995</v>
      </c>
      <c r="H379" s="83">
        <v>5865</v>
      </c>
      <c r="I379" s="83">
        <v>5710</v>
      </c>
      <c r="J379" s="83">
        <v>5555</v>
      </c>
      <c r="K379" s="83">
        <v>5500</v>
      </c>
      <c r="L379" s="83">
        <v>-41533000</v>
      </c>
      <c r="M379" s="103" t="s">
        <v>300</v>
      </c>
      <c r="N379" s="214">
        <v>62826</v>
      </c>
      <c r="O379" s="214">
        <v>63340</v>
      </c>
      <c r="P379" s="216">
        <v>63.4</v>
      </c>
      <c r="Q379" s="216">
        <v>63.7</v>
      </c>
      <c r="R379" s="216">
        <v>63.9</v>
      </c>
      <c r="S379" s="216">
        <v>63.9</v>
      </c>
      <c r="T379" s="216">
        <v>63.8</v>
      </c>
      <c r="U379" s="216">
        <v>63.7</v>
      </c>
      <c r="V379" s="216">
        <v>63.8</v>
      </c>
      <c r="W379" s="216">
        <v>64</v>
      </c>
      <c r="X379" s="216">
        <v>64.2</v>
      </c>
    </row>
    <row r="380" spans="1:24" x14ac:dyDescent="0.2">
      <c r="A380" t="s">
        <v>631</v>
      </c>
      <c r="B380" s="125" t="s">
        <v>274</v>
      </c>
      <c r="C380" s="89">
        <f t="shared" si="10"/>
        <v>1.1051080550098231E-3</v>
      </c>
      <c r="D380" t="s">
        <v>155</v>
      </c>
      <c r="E380" s="89">
        <f t="shared" si="11"/>
        <v>1.9503546099290781E-2</v>
      </c>
      <c r="F380" s="214">
        <v>32576</v>
      </c>
      <c r="G380" s="83">
        <v>2395</v>
      </c>
      <c r="H380" s="83">
        <v>2305</v>
      </c>
      <c r="I380" s="83">
        <v>2240</v>
      </c>
      <c r="J380" s="83">
        <v>2165</v>
      </c>
      <c r="K380" s="83">
        <v>2175</v>
      </c>
      <c r="L380" s="83">
        <v>81098000</v>
      </c>
      <c r="M380" s="103" t="s">
        <v>274</v>
      </c>
      <c r="N380" s="214">
        <v>32374</v>
      </c>
      <c r="O380" s="214">
        <v>32576</v>
      </c>
      <c r="P380" s="216">
        <v>32.200000000000003</v>
      </c>
      <c r="Q380" s="216">
        <v>32.200000000000003</v>
      </c>
      <c r="R380" s="216">
        <v>32.4</v>
      </c>
      <c r="S380" s="216">
        <v>32.5</v>
      </c>
      <c r="T380" s="216">
        <v>32.6</v>
      </c>
      <c r="U380" s="216">
        <v>32.700000000000003</v>
      </c>
      <c r="V380" s="216">
        <v>32.700000000000003</v>
      </c>
      <c r="W380" s="216">
        <v>32.799999999999997</v>
      </c>
      <c r="X380" s="216">
        <v>32.9</v>
      </c>
    </row>
    <row r="381" spans="1:24" x14ac:dyDescent="0.2">
      <c r="A381" t="s">
        <v>633</v>
      </c>
      <c r="B381" s="125" t="s">
        <v>399</v>
      </c>
      <c r="C381" s="89">
        <f t="shared" si="10"/>
        <v>-2.0659776510929904E-3</v>
      </c>
      <c r="D381" t="s">
        <v>526</v>
      </c>
      <c r="E381" s="89">
        <f t="shared" si="11"/>
        <v>3.1108816315993288E-2</v>
      </c>
      <c r="F381" s="214">
        <v>124719</v>
      </c>
      <c r="G381" s="83">
        <v>8355</v>
      </c>
      <c r="H381" s="83">
        <v>8135</v>
      </c>
      <c r="I381" s="83">
        <v>7775</v>
      </c>
      <c r="J381" s="83">
        <v>7320</v>
      </c>
      <c r="K381" s="83">
        <v>7150</v>
      </c>
      <c r="L381" s="83">
        <v>10261000</v>
      </c>
      <c r="M381" s="103" t="s">
        <v>399</v>
      </c>
      <c r="N381" s="214">
        <v>124745</v>
      </c>
      <c r="O381" s="214">
        <v>124719</v>
      </c>
      <c r="P381" s="216">
        <v>122.7</v>
      </c>
      <c r="Q381" s="216">
        <v>122.5</v>
      </c>
      <c r="R381" s="216">
        <v>122.7</v>
      </c>
      <c r="S381" s="216">
        <v>122.7</v>
      </c>
      <c r="T381" s="216">
        <v>122.8</v>
      </c>
      <c r="U381" s="216">
        <v>122.8</v>
      </c>
      <c r="V381" s="216">
        <v>122.8</v>
      </c>
      <c r="W381" s="216">
        <v>122.6</v>
      </c>
      <c r="X381" s="216">
        <v>122.4</v>
      </c>
    </row>
    <row r="382" spans="1:24" x14ac:dyDescent="0.2">
      <c r="A382" t="s">
        <v>633</v>
      </c>
      <c r="B382" s="125" t="s">
        <v>400</v>
      </c>
      <c r="C382" s="89">
        <f t="shared" si="10"/>
        <v>6.3480751210885427E-3</v>
      </c>
      <c r="D382" t="s">
        <v>555</v>
      </c>
      <c r="E382" s="89">
        <f t="shared" si="11"/>
        <v>1.2391573729863693E-2</v>
      </c>
      <c r="F382" s="214">
        <v>8419</v>
      </c>
      <c r="G382" s="83">
        <v>840</v>
      </c>
      <c r="H382" s="83">
        <v>815</v>
      </c>
      <c r="I382" s="83">
        <v>805</v>
      </c>
      <c r="J382" s="83">
        <v>785</v>
      </c>
      <c r="K382" s="83">
        <v>790</v>
      </c>
      <c r="L382" s="83">
        <v>8826000</v>
      </c>
      <c r="M382" s="103" t="s">
        <v>400</v>
      </c>
      <c r="N382" s="214">
        <v>8371</v>
      </c>
      <c r="O382" s="214">
        <v>8419</v>
      </c>
      <c r="P382" s="216">
        <v>8.3000000000000007</v>
      </c>
      <c r="Q382" s="216">
        <v>8.4</v>
      </c>
      <c r="R382" s="216">
        <v>8.5</v>
      </c>
      <c r="S382" s="216">
        <v>8.6</v>
      </c>
      <c r="T382" s="216">
        <v>8.6999999999999993</v>
      </c>
      <c r="U382" s="216">
        <v>8.8000000000000007</v>
      </c>
      <c r="V382" s="216">
        <v>8.8000000000000007</v>
      </c>
      <c r="W382" s="216">
        <v>8.9</v>
      </c>
      <c r="X382" s="216">
        <v>8.9</v>
      </c>
    </row>
    <row r="383" spans="1:24" x14ac:dyDescent="0.2">
      <c r="A383" t="s">
        <v>637</v>
      </c>
      <c r="B383" s="125" t="s">
        <v>178</v>
      </c>
      <c r="C383" s="89">
        <f t="shared" si="10"/>
        <v>-1.3505023281485786E-4</v>
      </c>
      <c r="D383" t="s">
        <v>555</v>
      </c>
      <c r="E383" s="89">
        <f t="shared" si="11"/>
        <v>2.7279253409906678E-2</v>
      </c>
      <c r="F383" s="214">
        <v>18923</v>
      </c>
      <c r="G383" s="83">
        <v>1495</v>
      </c>
      <c r="H383" s="83">
        <v>1440</v>
      </c>
      <c r="I383" s="83">
        <v>1385</v>
      </c>
      <c r="J383" s="83">
        <v>1340</v>
      </c>
      <c r="K383" s="83">
        <v>1305</v>
      </c>
      <c r="L383" s="83">
        <v>27167000</v>
      </c>
      <c r="M383" s="103" t="s">
        <v>178</v>
      </c>
      <c r="N383" s="214">
        <v>18863</v>
      </c>
      <c r="O383" s="214">
        <v>18923</v>
      </c>
      <c r="P383" s="216">
        <v>18.8</v>
      </c>
      <c r="Q383" s="216">
        <v>18.899999999999999</v>
      </c>
      <c r="R383" s="216">
        <v>18.899999999999999</v>
      </c>
      <c r="S383" s="216">
        <v>18.899999999999999</v>
      </c>
      <c r="T383" s="216">
        <v>18.899999999999999</v>
      </c>
      <c r="U383" s="216">
        <v>18.899999999999999</v>
      </c>
      <c r="V383" s="216">
        <v>18.899999999999999</v>
      </c>
      <c r="W383" s="216">
        <v>18.899999999999999</v>
      </c>
      <c r="X383" s="216">
        <v>18.899999999999999</v>
      </c>
    </row>
    <row r="384" spans="1:24" x14ac:dyDescent="0.2">
      <c r="A384" t="s">
        <v>633</v>
      </c>
      <c r="B384" s="125" t="s">
        <v>401</v>
      </c>
      <c r="C384" s="89">
        <f t="shared" si="10"/>
        <v>3.9914601318110088E-3</v>
      </c>
      <c r="D384" t="s">
        <v>555</v>
      </c>
      <c r="E384" s="89">
        <f t="shared" si="11"/>
        <v>2.5567440647012784E-2</v>
      </c>
      <c r="F384" s="214">
        <v>41895</v>
      </c>
      <c r="G384" s="83">
        <v>4075</v>
      </c>
      <c r="H384" s="83">
        <v>4005</v>
      </c>
      <c r="I384" s="83">
        <v>3845</v>
      </c>
      <c r="J384" s="83">
        <v>3655</v>
      </c>
      <c r="K384" s="83">
        <v>3585</v>
      </c>
      <c r="L384" s="83">
        <v>52788000</v>
      </c>
      <c r="M384" s="103" t="s">
        <v>401</v>
      </c>
      <c r="N384" s="214">
        <v>41462</v>
      </c>
      <c r="O384" s="214">
        <v>41895</v>
      </c>
      <c r="P384" s="216">
        <v>41.7</v>
      </c>
      <c r="Q384" s="216">
        <v>42</v>
      </c>
      <c r="R384" s="216">
        <v>42.2</v>
      </c>
      <c r="S384" s="216">
        <v>42.5</v>
      </c>
      <c r="T384" s="216">
        <v>42.7</v>
      </c>
      <c r="U384" s="216">
        <v>42.9</v>
      </c>
      <c r="V384" s="216">
        <v>43.1</v>
      </c>
      <c r="W384" s="216">
        <v>43.2</v>
      </c>
      <c r="X384" s="216">
        <v>43.4</v>
      </c>
    </row>
    <row r="385" spans="1:24" x14ac:dyDescent="0.2">
      <c r="A385" t="s">
        <v>629</v>
      </c>
      <c r="B385" s="125" t="s">
        <v>478</v>
      </c>
      <c r="C385" s="89">
        <f t="shared" si="10"/>
        <v>-6.3185281546181008E-3</v>
      </c>
      <c r="D385" t="s">
        <v>555</v>
      </c>
      <c r="E385" s="89">
        <f t="shared" si="11"/>
        <v>1.7501215362177931E-2</v>
      </c>
      <c r="F385" s="214">
        <v>21524</v>
      </c>
      <c r="G385" s="83">
        <v>2170</v>
      </c>
      <c r="H385" s="83">
        <v>2110</v>
      </c>
      <c r="I385" s="83">
        <v>2020</v>
      </c>
      <c r="J385" s="83">
        <v>1995</v>
      </c>
      <c r="K385" s="83">
        <v>1990</v>
      </c>
      <c r="L385" s="83">
        <v>10720000</v>
      </c>
      <c r="M385" s="103" t="s">
        <v>478</v>
      </c>
      <c r="N385" s="214">
        <v>21687</v>
      </c>
      <c r="O385" s="214">
        <v>21524</v>
      </c>
      <c r="P385" s="216">
        <v>21</v>
      </c>
      <c r="Q385" s="216">
        <v>20.7</v>
      </c>
      <c r="R385" s="216">
        <v>20.5</v>
      </c>
      <c r="S385" s="216">
        <v>20.399999999999999</v>
      </c>
      <c r="T385" s="216">
        <v>20.3</v>
      </c>
      <c r="U385" s="216">
        <v>20.3</v>
      </c>
      <c r="V385" s="216">
        <v>20.3</v>
      </c>
      <c r="W385" s="216">
        <v>20.3</v>
      </c>
      <c r="X385" s="216">
        <v>20.3</v>
      </c>
    </row>
    <row r="386" spans="1:24" x14ac:dyDescent="0.2">
      <c r="A386" t="s">
        <v>631</v>
      </c>
      <c r="B386" s="125" t="s">
        <v>275</v>
      </c>
      <c r="C386" s="89">
        <f t="shared" si="10"/>
        <v>-3.3950422569437146E-3</v>
      </c>
      <c r="D386" t="s">
        <v>526</v>
      </c>
      <c r="E386" s="89">
        <f t="shared" si="11"/>
        <v>2.3319200484554815E-2</v>
      </c>
      <c r="F386" s="214">
        <v>47553</v>
      </c>
      <c r="G386" s="83">
        <v>3485</v>
      </c>
      <c r="H386" s="83">
        <v>3430</v>
      </c>
      <c r="I386" s="83">
        <v>3325</v>
      </c>
      <c r="J386" s="83">
        <v>3170</v>
      </c>
      <c r="K386" s="83">
        <v>3100</v>
      </c>
      <c r="L386" s="83">
        <v>109103000</v>
      </c>
      <c r="M386" s="103" t="s">
        <v>275</v>
      </c>
      <c r="N386" s="214">
        <v>47318</v>
      </c>
      <c r="O386" s="214">
        <v>47553</v>
      </c>
      <c r="P386" s="216">
        <v>46.6</v>
      </c>
      <c r="Q386" s="216">
        <v>46.6</v>
      </c>
      <c r="R386" s="216">
        <v>46.5</v>
      </c>
      <c r="S386" s="216">
        <v>46.5</v>
      </c>
      <c r="T386" s="216">
        <v>46.4</v>
      </c>
      <c r="U386" s="216">
        <v>46.4</v>
      </c>
      <c r="V386" s="216">
        <v>46.3</v>
      </c>
      <c r="W386" s="216">
        <v>46.2</v>
      </c>
      <c r="X386" s="216">
        <v>46.1</v>
      </c>
    </row>
    <row r="387" spans="1:24" x14ac:dyDescent="0.2">
      <c r="A387" t="s">
        <v>634</v>
      </c>
      <c r="B387" s="125" t="s">
        <v>221</v>
      </c>
      <c r="C387" s="89">
        <f>(SUM(X387*1000,-O387)/9)/O387</f>
        <v>-1.3253417205704905E-3</v>
      </c>
      <c r="D387" t="s">
        <v>555</v>
      </c>
      <c r="E387" s="89">
        <f>SUM(G387,-K387)/SUM(G387,H387,I387,J387,K387)</f>
        <v>1.5821058374249863E-2</v>
      </c>
      <c r="F387" s="214">
        <v>22468</v>
      </c>
      <c r="G387" s="83">
        <v>1910</v>
      </c>
      <c r="H387" s="83">
        <v>1875</v>
      </c>
      <c r="I387" s="83">
        <v>1835</v>
      </c>
      <c r="J387" s="83">
        <v>1780</v>
      </c>
      <c r="K387" s="83">
        <v>1765</v>
      </c>
      <c r="L387" s="83">
        <v>70012000</v>
      </c>
      <c r="M387" s="103" t="s">
        <v>221</v>
      </c>
      <c r="N387" s="214">
        <v>22308</v>
      </c>
      <c r="O387" s="214">
        <v>22468</v>
      </c>
      <c r="P387" s="216">
        <v>22.3</v>
      </c>
      <c r="Q387" s="216">
        <v>22.3</v>
      </c>
      <c r="R387" s="216">
        <v>22.3</v>
      </c>
      <c r="S387" s="216">
        <v>22.2</v>
      </c>
      <c r="T387" s="216">
        <v>22.2</v>
      </c>
      <c r="U387" s="216">
        <v>22.2</v>
      </c>
      <c r="V387" s="216">
        <v>22.2</v>
      </c>
      <c r="W387" s="216">
        <v>22.2</v>
      </c>
      <c r="X387" s="216">
        <v>22.2</v>
      </c>
    </row>
    <row r="388" spans="1:24" x14ac:dyDescent="0.2">
      <c r="A388" t="s">
        <v>633</v>
      </c>
      <c r="B388" s="125" t="s">
        <v>402</v>
      </c>
      <c r="C388" s="89">
        <f>(SUM(X388*1000,-O388)/9)/O388</f>
        <v>-3.1684777595795974E-3</v>
      </c>
      <c r="D388" t="s">
        <v>155</v>
      </c>
      <c r="E388" s="89">
        <f>SUM(G388,-K388)/SUM(G388,H388,I388,J388,K388)</f>
        <v>1.5852885225110969E-2</v>
      </c>
      <c r="F388" s="214">
        <v>44571</v>
      </c>
      <c r="G388" s="83">
        <v>3280</v>
      </c>
      <c r="H388" s="83">
        <v>3255</v>
      </c>
      <c r="I388" s="83">
        <v>3160</v>
      </c>
      <c r="J388" s="83">
        <v>3045</v>
      </c>
      <c r="K388" s="83">
        <v>3030</v>
      </c>
      <c r="L388" s="83">
        <v>96856000</v>
      </c>
      <c r="M388" s="103" t="s">
        <v>402</v>
      </c>
      <c r="N388" s="214">
        <v>44423</v>
      </c>
      <c r="O388" s="214">
        <v>44571</v>
      </c>
      <c r="P388" s="216">
        <v>44.1</v>
      </c>
      <c r="Q388" s="216">
        <v>43.9</v>
      </c>
      <c r="R388" s="216">
        <v>43.7</v>
      </c>
      <c r="S388" s="216">
        <v>43.6</v>
      </c>
      <c r="T388" s="216">
        <v>43.5</v>
      </c>
      <c r="U388" s="216">
        <v>43.4</v>
      </c>
      <c r="V388" s="216">
        <v>43.3</v>
      </c>
      <c r="W388" s="216">
        <v>43.3</v>
      </c>
      <c r="X388" s="216">
        <v>43.3</v>
      </c>
    </row>
    <row r="389" spans="1:24" x14ac:dyDescent="0.2">
      <c r="A389" t="s">
        <v>634</v>
      </c>
      <c r="B389" s="125" t="s">
        <v>222</v>
      </c>
      <c r="C389" s="89">
        <f>(SUM(X389*1000,-O389)/9)/O389</f>
        <v>6.5543912307494488E-3</v>
      </c>
      <c r="D389" t="s">
        <v>526</v>
      </c>
      <c r="E389" s="89">
        <f>SUM(G389,-K389)/SUM(G389,H389,I389,J389,K389)</f>
        <v>2.7931697387764333E-2</v>
      </c>
      <c r="F389" s="214">
        <v>126158</v>
      </c>
      <c r="G389" s="83">
        <v>9440</v>
      </c>
      <c r="H389" s="83">
        <v>9210</v>
      </c>
      <c r="I389" s="83">
        <v>8885</v>
      </c>
      <c r="J389" s="83">
        <v>8475</v>
      </c>
      <c r="K389" s="83">
        <v>8205</v>
      </c>
      <c r="L389" s="83">
        <v>318825000</v>
      </c>
      <c r="M389" s="103" t="s">
        <v>222</v>
      </c>
      <c r="N389" s="214">
        <v>125525</v>
      </c>
      <c r="O389" s="214">
        <v>126158</v>
      </c>
      <c r="P389" s="216">
        <v>126.9</v>
      </c>
      <c r="Q389" s="216">
        <v>127.8</v>
      </c>
      <c r="R389" s="216">
        <v>128.6</v>
      </c>
      <c r="S389" s="216">
        <v>129.5</v>
      </c>
      <c r="T389" s="216">
        <v>130.5</v>
      </c>
      <c r="U389" s="216">
        <v>131.30000000000001</v>
      </c>
      <c r="V389" s="216">
        <v>132.1</v>
      </c>
      <c r="W389" s="216">
        <v>132.9</v>
      </c>
      <c r="X389" s="216">
        <v>133.6</v>
      </c>
    </row>
    <row r="390" spans="1:24" x14ac:dyDescent="0.2">
      <c r="B390" s="125" t="s">
        <v>527</v>
      </c>
      <c r="C390" s="89">
        <f>(SUM(X390*1000,-O390)/9)/O390</f>
        <v>3.10747543145581E-3</v>
      </c>
      <c r="D390" t="s">
        <v>155</v>
      </c>
      <c r="E390" s="89">
        <f>SUM(H390,-K390)/SUM(H390,I390,J390,K390)</f>
        <v>2.3201057041411226E-2</v>
      </c>
      <c r="F390" s="214">
        <f>SUM(F2:F389)</f>
        <v>17184010</v>
      </c>
      <c r="G390" s="83">
        <f t="shared" ref="G390:L390" si="12">SUM(G2:G389)</f>
        <v>1508160</v>
      </c>
      <c r="H390" s="83">
        <f t="shared" si="12"/>
        <v>1470285</v>
      </c>
      <c r="I390" s="83">
        <f t="shared" si="12"/>
        <v>1417645</v>
      </c>
      <c r="J390" s="83">
        <f t="shared" si="12"/>
        <v>1360645</v>
      </c>
      <c r="K390" s="83">
        <f t="shared" si="12"/>
        <v>1340610</v>
      </c>
      <c r="L390" s="83">
        <f t="shared" si="12"/>
        <v>27057606929.824558</v>
      </c>
      <c r="M390" s="103" t="s">
        <v>527</v>
      </c>
      <c r="N390" s="83">
        <f t="shared" ref="N390:X390" si="13">SUM(N2:N389)</f>
        <v>17089690</v>
      </c>
      <c r="O390" s="214">
        <f t="shared" si="13"/>
        <v>17184010</v>
      </c>
      <c r="P390" s="83">
        <f t="shared" si="13"/>
        <v>17195.099999999999</v>
      </c>
      <c r="Q390" s="83">
        <f t="shared" si="13"/>
        <v>17273.100000000006</v>
      </c>
      <c r="R390" s="83">
        <f t="shared" si="13"/>
        <v>17338.400000000009</v>
      </c>
      <c r="S390" s="83">
        <f t="shared" si="13"/>
        <v>17398.499999999993</v>
      </c>
      <c r="T390" s="83">
        <f t="shared" si="13"/>
        <v>17459.200000000008</v>
      </c>
      <c r="U390" s="83">
        <f t="shared" si="13"/>
        <v>17513.600000000006</v>
      </c>
      <c r="V390" s="83">
        <f t="shared" si="13"/>
        <v>17566.599999999988</v>
      </c>
      <c r="W390" s="83">
        <f t="shared" si="13"/>
        <v>17615.900000000001</v>
      </c>
      <c r="X390" s="83">
        <f t="shared" si="13"/>
        <v>17664.60000000002</v>
      </c>
    </row>
    <row r="391" spans="1:24" x14ac:dyDescent="0.2">
      <c r="B391" s="125"/>
      <c r="C391" s="89"/>
      <c r="E391" s="89"/>
      <c r="F391" s="83"/>
      <c r="N391" s="83"/>
      <c r="P391" s="83"/>
      <c r="Q391" s="83"/>
      <c r="R391" s="83"/>
      <c r="S391" s="83"/>
      <c r="T391" s="83"/>
      <c r="U391" s="83"/>
      <c r="V391" s="83"/>
      <c r="W391" s="83"/>
      <c r="X391" s="83"/>
    </row>
    <row r="392" spans="1:24" x14ac:dyDescent="0.2">
      <c r="B392" s="125"/>
      <c r="C392" s="89"/>
      <c r="E392" s="89"/>
      <c r="F392" s="83"/>
      <c r="N392" s="83"/>
      <c r="P392" s="83"/>
      <c r="Q392" s="83"/>
      <c r="R392" s="83"/>
      <c r="S392" s="83"/>
      <c r="T392" s="83"/>
      <c r="U392" s="83"/>
      <c r="V392" s="83"/>
      <c r="W392" s="83"/>
      <c r="X392" s="83"/>
    </row>
    <row r="393" spans="1:24" x14ac:dyDescent="0.2">
      <c r="B393" s="125"/>
      <c r="C393" s="89"/>
      <c r="E393" s="89"/>
      <c r="F393" s="83"/>
      <c r="N393" s="83"/>
      <c r="P393" s="83"/>
      <c r="Q393" s="83"/>
      <c r="R393" s="83"/>
      <c r="S393" s="83"/>
      <c r="T393" s="83"/>
      <c r="U393" s="83"/>
      <c r="V393" s="83"/>
      <c r="W393" s="83"/>
      <c r="X393" s="83"/>
    </row>
    <row r="394" spans="1:24" x14ac:dyDescent="0.2">
      <c r="B394" s="125"/>
      <c r="C394" s="89"/>
      <c r="E394" s="89"/>
      <c r="F394" s="83"/>
      <c r="N394" s="83"/>
      <c r="P394" s="83"/>
      <c r="Q394" s="83"/>
      <c r="R394" s="83"/>
      <c r="S394" s="83"/>
      <c r="T394" s="83"/>
      <c r="U394" s="83"/>
      <c r="V394" s="83"/>
      <c r="W394" s="83"/>
      <c r="X394" s="83"/>
    </row>
    <row r="395" spans="1:24" x14ac:dyDescent="0.2">
      <c r="B395" s="125"/>
      <c r="C395" s="89"/>
      <c r="E395" s="89"/>
      <c r="F395" s="83"/>
      <c r="N395" s="83"/>
      <c r="P395" s="83"/>
      <c r="Q395" s="83"/>
      <c r="R395" s="83"/>
      <c r="S395" s="83"/>
      <c r="T395" s="83"/>
      <c r="U395" s="83"/>
      <c r="V395" s="83"/>
      <c r="W395" s="83"/>
      <c r="X395" s="83"/>
    </row>
    <row r="396" spans="1:24" x14ac:dyDescent="0.2">
      <c r="B396" s="125"/>
      <c r="C396" s="89"/>
      <c r="E396" s="89"/>
      <c r="F396" s="83"/>
      <c r="N396" s="83"/>
      <c r="P396" s="83"/>
      <c r="Q396" s="83"/>
      <c r="R396" s="83"/>
      <c r="S396" s="83"/>
      <c r="T396" s="83"/>
      <c r="U396" s="83"/>
      <c r="V396" s="83"/>
      <c r="W396" s="83"/>
      <c r="X396" s="83"/>
    </row>
    <row r="397" spans="1:24" x14ac:dyDescent="0.2">
      <c r="B397" s="125"/>
      <c r="C397" s="89"/>
      <c r="E397" s="89"/>
      <c r="F397" s="83"/>
      <c r="N397" s="83"/>
      <c r="P397" s="83"/>
      <c r="Q397" s="83"/>
      <c r="R397" s="83"/>
      <c r="S397" s="83"/>
      <c r="T397" s="83"/>
      <c r="U397" s="83"/>
      <c r="V397" s="83"/>
      <c r="W397" s="83"/>
      <c r="X397" s="83"/>
    </row>
    <row r="398" spans="1:24" x14ac:dyDescent="0.2">
      <c r="B398" s="125"/>
      <c r="C398" s="89"/>
      <c r="E398" s="89"/>
      <c r="F398" s="83"/>
      <c r="N398" s="83"/>
      <c r="P398" s="83"/>
      <c r="Q398" s="83"/>
      <c r="R398" s="83"/>
      <c r="S398" s="83"/>
      <c r="T398" s="83"/>
      <c r="U398" s="83"/>
      <c r="V398" s="83"/>
      <c r="W398" s="83"/>
      <c r="X398" s="83"/>
    </row>
    <row r="399" spans="1:24" x14ac:dyDescent="0.2">
      <c r="B399" s="125"/>
      <c r="C399" s="89"/>
      <c r="E399" s="89"/>
      <c r="F399" s="83"/>
      <c r="N399" s="83"/>
      <c r="P399" s="83"/>
      <c r="Q399" s="83"/>
      <c r="R399" s="83"/>
      <c r="S399" s="83"/>
      <c r="T399" s="83"/>
      <c r="U399" s="83"/>
      <c r="V399" s="83"/>
      <c r="W399" s="83"/>
      <c r="X399" s="83"/>
    </row>
    <row r="400" spans="1:24" x14ac:dyDescent="0.2">
      <c r="B400" s="125"/>
      <c r="C400" s="89"/>
      <c r="E400" s="89"/>
      <c r="F400" s="83"/>
      <c r="N400" s="83"/>
      <c r="P400" s="83"/>
      <c r="Q400" s="83"/>
      <c r="R400" s="83"/>
      <c r="S400" s="83"/>
      <c r="T400" s="83"/>
      <c r="U400" s="83"/>
      <c r="V400" s="83"/>
      <c r="W400" s="83"/>
      <c r="X400" s="83"/>
    </row>
    <row r="401" spans="1:24" x14ac:dyDescent="0.2">
      <c r="B401" s="125"/>
      <c r="C401" s="89"/>
      <c r="E401" s="89"/>
      <c r="F401" s="83"/>
      <c r="N401" s="83"/>
      <c r="P401" s="83"/>
      <c r="Q401" s="83"/>
      <c r="R401" s="83"/>
      <c r="S401" s="83"/>
      <c r="T401" s="83"/>
      <c r="U401" s="83"/>
      <c r="V401" s="83"/>
      <c r="W401" s="83"/>
      <c r="X401" s="83"/>
    </row>
    <row r="402" spans="1:24" x14ac:dyDescent="0.2">
      <c r="B402" s="125"/>
      <c r="C402" s="89"/>
      <c r="E402" s="89"/>
      <c r="F402" s="83"/>
      <c r="N402" s="83"/>
      <c r="P402" s="83"/>
      <c r="Q402" s="83"/>
      <c r="R402" s="83"/>
      <c r="S402" s="83"/>
      <c r="T402" s="83"/>
      <c r="U402" s="83"/>
      <c r="V402" s="83"/>
      <c r="W402" s="83"/>
      <c r="X402" s="83"/>
    </row>
    <row r="403" spans="1:24" x14ac:dyDescent="0.2">
      <c r="C403" s="89"/>
      <c r="E403" s="89"/>
      <c r="F403" s="83"/>
      <c r="R403" s="216"/>
    </row>
    <row r="404" spans="1:24" x14ac:dyDescent="0.2">
      <c r="C404" s="89"/>
      <c r="E404" s="89"/>
      <c r="F404" s="83"/>
      <c r="R404" s="216"/>
    </row>
    <row r="405" spans="1:24" x14ac:dyDescent="0.2">
      <c r="R405" s="216"/>
    </row>
    <row r="406" spans="1:24" x14ac:dyDescent="0.2">
      <c r="C406" s="89"/>
      <c r="E406" s="89"/>
      <c r="F406" s="83"/>
      <c r="R406" s="216"/>
    </row>
    <row r="407" spans="1:24" x14ac:dyDescent="0.2">
      <c r="C407" s="89"/>
      <c r="E407" s="89"/>
      <c r="F407" s="83"/>
      <c r="R407" s="216"/>
    </row>
    <row r="408" spans="1:24" x14ac:dyDescent="0.2">
      <c r="C408" s="89"/>
      <c r="E408" s="89"/>
      <c r="F408" s="83"/>
      <c r="R408" s="216"/>
    </row>
    <row r="409" spans="1:24" x14ac:dyDescent="0.2">
      <c r="A409" s="92" t="s">
        <v>627</v>
      </c>
      <c r="B409" s="125" t="s">
        <v>642</v>
      </c>
      <c r="C409" s="85" t="s">
        <v>678</v>
      </c>
      <c r="D409" s="85" t="s">
        <v>679</v>
      </c>
      <c r="E409" s="85" t="s">
        <v>680</v>
      </c>
      <c r="F409" s="85" t="s">
        <v>681</v>
      </c>
      <c r="G409" s="85"/>
      <c r="H409" s="85" t="s">
        <v>682</v>
      </c>
      <c r="I409" s="92" t="s">
        <v>683</v>
      </c>
      <c r="J409" s="92" t="s">
        <v>684</v>
      </c>
      <c r="K409" s="85" t="s">
        <v>685</v>
      </c>
      <c r="L409" s="85" t="s">
        <v>686</v>
      </c>
      <c r="M409" s="85" t="s">
        <v>687</v>
      </c>
      <c r="N409" s="218">
        <v>2016</v>
      </c>
      <c r="O409" s="258" t="s">
        <v>667</v>
      </c>
      <c r="P409" s="219" t="s">
        <v>668</v>
      </c>
      <c r="Q409" s="219" t="s">
        <v>669</v>
      </c>
      <c r="R409" s="219" t="s">
        <v>670</v>
      </c>
      <c r="S409" s="219" t="s">
        <v>671</v>
      </c>
      <c r="T409" s="219" t="s">
        <v>672</v>
      </c>
      <c r="U409" s="219" t="s">
        <v>673</v>
      </c>
      <c r="V409" s="219" t="s">
        <v>674</v>
      </c>
      <c r="W409" s="219" t="s">
        <v>675</v>
      </c>
      <c r="X409" s="219" t="s">
        <v>676</v>
      </c>
    </row>
    <row r="410" spans="1:24" x14ac:dyDescent="0.2">
      <c r="A410" t="s">
        <v>629</v>
      </c>
      <c r="B410" s="125" t="s">
        <v>461</v>
      </c>
      <c r="C410" s="89">
        <f>(SUM(X410*1000,-N410)/10)/N410</f>
        <v>-1.0159160176092109E-4</v>
      </c>
      <c r="D410" t="s">
        <v>155</v>
      </c>
      <c r="E410" s="89">
        <f>SUM(H410,-K410)/SUM(H410,I410,J410,K410)</f>
        <v>2.0658849804578449E-2</v>
      </c>
      <c r="F410" s="83">
        <v>23624</v>
      </c>
      <c r="H410" s="83">
        <v>2340</v>
      </c>
      <c r="I410" s="83">
        <v>2270</v>
      </c>
      <c r="J410" s="83">
        <v>2190</v>
      </c>
      <c r="K410" s="83">
        <v>2155</v>
      </c>
      <c r="L410" s="83">
        <v>28747000</v>
      </c>
      <c r="M410" s="103" t="s">
        <v>461</v>
      </c>
      <c r="N410" s="214">
        <v>23624</v>
      </c>
      <c r="O410" s="214">
        <v>23.6</v>
      </c>
      <c r="P410" s="216">
        <v>23.8</v>
      </c>
      <c r="Q410" s="216">
        <v>23.8</v>
      </c>
      <c r="R410" s="216">
        <v>23.9</v>
      </c>
      <c r="S410" s="216">
        <v>23.8</v>
      </c>
      <c r="T410" s="216">
        <v>23.8</v>
      </c>
      <c r="U410" s="216">
        <v>23.8</v>
      </c>
      <c r="V410" s="216">
        <v>23.7</v>
      </c>
      <c r="W410" s="216">
        <v>23.7</v>
      </c>
      <c r="X410" s="216">
        <v>23.6</v>
      </c>
    </row>
    <row r="411" spans="1:24" x14ac:dyDescent="0.2">
      <c r="A411" t="s">
        <v>629</v>
      </c>
      <c r="B411" s="125" t="s">
        <v>470</v>
      </c>
      <c r="C411" s="89">
        <f>(SUM(X411*1000,-N411)/10)/N411</f>
        <v>4.9498746867167919E-3</v>
      </c>
      <c r="D411" t="s">
        <v>155</v>
      </c>
      <c r="E411" s="89">
        <f>SUM(H411,-K411)/SUM(H411,I411,J411,K411)</f>
        <v>1.0455563853622106E-2</v>
      </c>
      <c r="F411" s="83">
        <v>38304</v>
      </c>
      <c r="H411" s="83">
        <v>3425</v>
      </c>
      <c r="I411" s="83">
        <v>3370</v>
      </c>
      <c r="J411" s="83">
        <v>3310</v>
      </c>
      <c r="K411" s="83">
        <v>3285</v>
      </c>
      <c r="L411" s="83">
        <v>107480000</v>
      </c>
      <c r="M411" s="103" t="s">
        <v>470</v>
      </c>
      <c r="N411" s="214">
        <v>38304</v>
      </c>
      <c r="O411" s="214">
        <v>38.299999999999997</v>
      </c>
      <c r="P411" s="216">
        <v>38.6</v>
      </c>
      <c r="Q411" s="216">
        <v>38.9</v>
      </c>
      <c r="R411" s="216">
        <v>39.1</v>
      </c>
      <c r="S411" s="216">
        <v>39.299999999999997</v>
      </c>
      <c r="T411" s="216">
        <v>39.5</v>
      </c>
      <c r="U411" s="216">
        <v>39.700000000000003</v>
      </c>
      <c r="V411" s="216">
        <v>39.9</v>
      </c>
      <c r="W411" s="216">
        <v>40</v>
      </c>
      <c r="X411" s="216">
        <v>40.200000000000003</v>
      </c>
    </row>
    <row r="412" spans="1:24" x14ac:dyDescent="0.2">
      <c r="A412" t="s">
        <v>629</v>
      </c>
      <c r="B412" s="125" t="s">
        <v>463</v>
      </c>
      <c r="C412" s="89">
        <f>(SUM(X412*1000,-N412)/10)/N412</f>
        <v>7.7790808063885634E-3</v>
      </c>
      <c r="D412" t="s">
        <v>155</v>
      </c>
      <c r="E412" s="89">
        <f>SUM(H412,-K412)/SUM(H412,I412,J412,K412)</f>
        <v>2.4840312278211499E-2</v>
      </c>
      <c r="F412" s="83">
        <v>17907</v>
      </c>
      <c r="H412" s="83">
        <v>1855</v>
      </c>
      <c r="I412" s="83">
        <v>1785</v>
      </c>
      <c r="J412" s="83">
        <v>1725</v>
      </c>
      <c r="K412" s="83">
        <v>1680</v>
      </c>
      <c r="L412" s="83">
        <v>20003000</v>
      </c>
      <c r="M412" s="103" t="s">
        <v>463</v>
      </c>
      <c r="N412" s="214">
        <v>17907</v>
      </c>
      <c r="O412" s="214">
        <v>18.399999999999999</v>
      </c>
      <c r="P412" s="216">
        <v>18.5</v>
      </c>
      <c r="Q412" s="216">
        <v>18.7</v>
      </c>
      <c r="R412" s="216">
        <v>18.8</v>
      </c>
      <c r="S412" s="216">
        <v>18.899999999999999</v>
      </c>
      <c r="T412" s="216">
        <v>19</v>
      </c>
      <c r="U412" s="216">
        <v>19.100000000000001</v>
      </c>
      <c r="V412" s="216">
        <v>19.2</v>
      </c>
      <c r="W412" s="216">
        <v>19.2</v>
      </c>
      <c r="X412" s="216">
        <v>19.3</v>
      </c>
    </row>
    <row r="413" spans="1:24" x14ac:dyDescent="0.2">
      <c r="A413" t="s">
        <v>629</v>
      </c>
      <c r="B413" s="125" t="s">
        <v>713</v>
      </c>
      <c r="C413" s="89">
        <f>(SUM(X413*1000,-N413)/10)/N413</f>
        <v>4.0896849752614772E-3</v>
      </c>
      <c r="D413" t="s">
        <v>155</v>
      </c>
      <c r="E413" s="89">
        <f>SUM(H413,-K413)/SUM(H413,I413,J413,K413)</f>
        <v>1.701258931609391E-2</v>
      </c>
      <c r="F413" s="83">
        <v>79835</v>
      </c>
      <c r="H413" s="83">
        <v>7620</v>
      </c>
      <c r="I413" s="83">
        <v>7425</v>
      </c>
      <c r="J413" s="83">
        <v>7225</v>
      </c>
      <c r="K413" s="83">
        <v>7120</v>
      </c>
      <c r="L413" s="83">
        <v>156230000</v>
      </c>
      <c r="M413" s="103" t="s">
        <v>713</v>
      </c>
      <c r="N413" s="214">
        <v>79835</v>
      </c>
      <c r="O413" s="214">
        <v>80.3</v>
      </c>
      <c r="P413" s="216">
        <v>80.900000000000006</v>
      </c>
      <c r="Q413" s="216">
        <v>81.400000000000006</v>
      </c>
      <c r="R413" s="216">
        <v>81.8</v>
      </c>
      <c r="S413" s="216">
        <v>82</v>
      </c>
      <c r="T413" s="216">
        <v>82.3</v>
      </c>
      <c r="U413" s="216">
        <v>82.6</v>
      </c>
      <c r="V413" s="216">
        <v>82.8</v>
      </c>
      <c r="W413" s="216">
        <v>82.9</v>
      </c>
      <c r="X413" s="216">
        <v>83.1</v>
      </c>
    </row>
    <row r="414" spans="1:24" x14ac:dyDescent="0.2">
      <c r="C414" s="89"/>
      <c r="E414" s="89"/>
      <c r="F414" s="83"/>
      <c r="R414" s="216"/>
    </row>
    <row r="415" spans="1:24" x14ac:dyDescent="0.2">
      <c r="C415" s="89"/>
      <c r="E415" s="89"/>
      <c r="F415" s="83"/>
      <c r="R415" s="216"/>
    </row>
    <row r="416" spans="1:24" x14ac:dyDescent="0.2">
      <c r="C416" s="89"/>
      <c r="E416" s="89"/>
      <c r="F416" s="83"/>
      <c r="R416" s="216"/>
    </row>
    <row r="417" spans="3:18" x14ac:dyDescent="0.2">
      <c r="R417" s="216"/>
    </row>
    <row r="418" spans="3:18" x14ac:dyDescent="0.2">
      <c r="C418" s="89"/>
      <c r="E418" s="89"/>
      <c r="F418" s="83"/>
      <c r="R418" s="216"/>
    </row>
    <row r="419" spans="3:18" x14ac:dyDescent="0.2">
      <c r="C419" s="89"/>
      <c r="E419" s="89"/>
      <c r="F419" s="83"/>
      <c r="R419" s="216"/>
    </row>
    <row r="420" spans="3:18" x14ac:dyDescent="0.2">
      <c r="C420" s="89"/>
      <c r="E420" s="89"/>
      <c r="F420" s="83"/>
      <c r="R420" s="216"/>
    </row>
    <row r="421" spans="3:18" x14ac:dyDescent="0.2">
      <c r="C421" s="89"/>
      <c r="E421" s="89"/>
      <c r="F421" s="93"/>
      <c r="G421" s="93"/>
      <c r="H421" s="93"/>
      <c r="I421" s="93"/>
      <c r="J421" s="93"/>
      <c r="K421" s="93"/>
      <c r="L421" s="93"/>
      <c r="R421" s="216"/>
    </row>
    <row r="422" spans="3:18" x14ac:dyDescent="0.2">
      <c r="R422" s="216"/>
    </row>
    <row r="423" spans="3:18" x14ac:dyDescent="0.2">
      <c r="C423" s="89"/>
      <c r="E423" s="89"/>
      <c r="F423" s="83"/>
      <c r="R423" s="216"/>
    </row>
    <row r="424" spans="3:18" x14ac:dyDescent="0.2">
      <c r="C424" s="89"/>
      <c r="E424" s="89"/>
      <c r="F424" s="83"/>
      <c r="R424" s="216"/>
    </row>
    <row r="425" spans="3:18" x14ac:dyDescent="0.2">
      <c r="C425" s="89"/>
      <c r="E425" s="89"/>
      <c r="F425" s="83"/>
      <c r="R425" s="216"/>
    </row>
    <row r="426" spans="3:18" x14ac:dyDescent="0.2">
      <c r="R426" s="216"/>
    </row>
    <row r="427" spans="3:18" x14ac:dyDescent="0.2">
      <c r="C427" s="89"/>
      <c r="E427" s="89"/>
      <c r="F427" s="83"/>
      <c r="R427" s="216"/>
    </row>
    <row r="428" spans="3:18" x14ac:dyDescent="0.2">
      <c r="C428" s="89"/>
      <c r="E428" s="89"/>
      <c r="F428" s="83"/>
      <c r="R428" s="216"/>
    </row>
    <row r="429" spans="3:18" x14ac:dyDescent="0.2">
      <c r="C429" s="89"/>
      <c r="E429" s="89"/>
      <c r="F429" s="83"/>
      <c r="R429" s="216"/>
    </row>
    <row r="430" spans="3:18" x14ac:dyDescent="0.2">
      <c r="F430" s="83"/>
      <c r="R430" s="216"/>
    </row>
    <row r="431" spans="3:18" x14ac:dyDescent="0.2">
      <c r="R431" s="216"/>
    </row>
    <row r="432" spans="3:18" x14ac:dyDescent="0.2">
      <c r="R432" s="216"/>
    </row>
    <row r="433" spans="18:18" x14ac:dyDescent="0.2">
      <c r="R433" s="216"/>
    </row>
    <row r="434" spans="18:18" x14ac:dyDescent="0.2">
      <c r="R434" s="216"/>
    </row>
    <row r="435" spans="18:18" x14ac:dyDescent="0.2">
      <c r="R435" s="216"/>
    </row>
    <row r="436" spans="18:18" x14ac:dyDescent="0.2">
      <c r="R436" s="216"/>
    </row>
    <row r="437" spans="18:18" x14ac:dyDescent="0.2">
      <c r="R437" s="216"/>
    </row>
    <row r="438" spans="18:18" x14ac:dyDescent="0.2">
      <c r="R438" s="216"/>
    </row>
    <row r="439" spans="18:18" x14ac:dyDescent="0.2">
      <c r="R439" s="216"/>
    </row>
    <row r="440" spans="18:18" x14ac:dyDescent="0.2">
      <c r="R440" s="216"/>
    </row>
    <row r="441" spans="18:18" x14ac:dyDescent="0.2">
      <c r="R441" s="216"/>
    </row>
    <row r="442" spans="18:18" x14ac:dyDescent="0.2">
      <c r="R442" s="216"/>
    </row>
    <row r="443" spans="18:18" x14ac:dyDescent="0.2">
      <c r="R443" s="216"/>
    </row>
    <row r="444" spans="18:18" x14ac:dyDescent="0.2">
      <c r="R444" s="216"/>
    </row>
    <row r="445" spans="18:18" x14ac:dyDescent="0.2">
      <c r="R445" s="216"/>
    </row>
    <row r="446" spans="18:18" x14ac:dyDescent="0.2">
      <c r="R446" s="216"/>
    </row>
    <row r="447" spans="18:18" x14ac:dyDescent="0.2">
      <c r="R447" s="216"/>
    </row>
    <row r="448" spans="18:18" x14ac:dyDescent="0.2">
      <c r="R448" s="216"/>
    </row>
    <row r="449" spans="18:18" x14ac:dyDescent="0.2">
      <c r="R449" s="216"/>
    </row>
    <row r="450" spans="18:18" x14ac:dyDescent="0.2">
      <c r="R450" s="216"/>
    </row>
    <row r="451" spans="18:18" x14ac:dyDescent="0.2">
      <c r="R451" s="216"/>
    </row>
    <row r="452" spans="18:18" x14ac:dyDescent="0.2">
      <c r="R452" s="216"/>
    </row>
    <row r="453" spans="18:18" x14ac:dyDescent="0.2">
      <c r="R453" s="216"/>
    </row>
    <row r="454" spans="18:18" x14ac:dyDescent="0.2">
      <c r="R454" s="216"/>
    </row>
    <row r="455" spans="18:18" x14ac:dyDescent="0.2">
      <c r="R455" s="216"/>
    </row>
    <row r="456" spans="18:18" x14ac:dyDescent="0.2">
      <c r="R456" s="216"/>
    </row>
    <row r="457" spans="18:18" x14ac:dyDescent="0.2">
      <c r="R457" s="216"/>
    </row>
    <row r="458" spans="18:18" x14ac:dyDescent="0.2">
      <c r="R458" s="216"/>
    </row>
    <row r="459" spans="18:18" x14ac:dyDescent="0.2">
      <c r="R459" s="216"/>
    </row>
    <row r="460" spans="18:18" x14ac:dyDescent="0.2">
      <c r="R460" s="216"/>
    </row>
    <row r="461" spans="18:18" x14ac:dyDescent="0.2">
      <c r="R461" s="216"/>
    </row>
    <row r="462" spans="18:18" x14ac:dyDescent="0.2">
      <c r="R462" s="216"/>
    </row>
    <row r="463" spans="18:18" x14ac:dyDescent="0.2">
      <c r="R463" s="216"/>
    </row>
    <row r="464" spans="18:18" x14ac:dyDescent="0.2">
      <c r="R464" s="216"/>
    </row>
    <row r="465" spans="18:18" x14ac:dyDescent="0.2">
      <c r="R465" s="216"/>
    </row>
    <row r="466" spans="18:18" x14ac:dyDescent="0.2">
      <c r="R466" s="216"/>
    </row>
    <row r="467" spans="18:18" x14ac:dyDescent="0.2">
      <c r="R467" s="216"/>
    </row>
  </sheetData>
  <sheetProtection algorithmName="SHA-512" hashValue="+VOEWjMSk+fmttBv79S6uWAL07iCxdenhexcVGUA+Vpy/N+D6HtDoQZ8WL2Kk40bAqda2N4OLFrrczbx23kyVg==" saltValue="q8MxDOWHyuHajTdnYGUT3g=="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5"/>
  <sheetViews>
    <sheetView workbookViewId="0">
      <selection activeCell="A4" sqref="A4"/>
    </sheetView>
  </sheetViews>
  <sheetFormatPr defaultRowHeight="12.75" x14ac:dyDescent="0.2"/>
  <cols>
    <col min="1" max="1" width="5.28515625" bestFit="1" customWidth="1"/>
    <col min="2" max="2" width="29.28515625" bestFit="1" customWidth="1"/>
    <col min="3" max="3" width="31.5703125" style="266" bestFit="1" customWidth="1"/>
    <col min="4" max="4" width="13.42578125" style="266" bestFit="1" customWidth="1"/>
    <col min="5" max="5" width="17.7109375" style="266" bestFit="1" customWidth="1"/>
    <col min="6" max="6" width="13.140625" style="266" bestFit="1" customWidth="1"/>
    <col min="7" max="7" width="15.28515625" bestFit="1" customWidth="1"/>
    <col min="8" max="8" width="26.28515625" style="266" bestFit="1" customWidth="1"/>
    <col min="9" max="9" width="13.28515625" style="266" bestFit="1" customWidth="1"/>
    <col min="10" max="10" width="16.5703125" style="266" bestFit="1" customWidth="1"/>
    <col min="11" max="11" width="23.85546875" style="266" bestFit="1" customWidth="1"/>
    <col min="12" max="12" width="32.5703125" bestFit="1" customWidth="1"/>
    <col min="13" max="13" width="20.85546875" bestFit="1" customWidth="1"/>
    <col min="14" max="14" width="28.28515625" bestFit="1" customWidth="1"/>
    <col min="15" max="15" width="39.42578125" bestFit="1" customWidth="1"/>
    <col min="16" max="16" width="12.28515625" style="264" bestFit="1" customWidth="1"/>
    <col min="17" max="18" width="29.28515625" bestFit="1" customWidth="1"/>
    <col min="19" max="19" width="14.42578125" bestFit="1" customWidth="1"/>
  </cols>
  <sheetData>
    <row r="1" spans="1:19" x14ac:dyDescent="0.2">
      <c r="A1" t="s">
        <v>922</v>
      </c>
      <c r="B1" t="s">
        <v>642</v>
      </c>
      <c r="C1" s="266" t="s">
        <v>892</v>
      </c>
      <c r="D1" s="266" t="s">
        <v>893</v>
      </c>
      <c r="E1" s="266" t="s">
        <v>894</v>
      </c>
      <c r="F1" s="266" t="s">
        <v>895</v>
      </c>
      <c r="G1" s="266" t="s">
        <v>896</v>
      </c>
      <c r="H1" s="266" t="s">
        <v>897</v>
      </c>
      <c r="I1" s="266" t="s">
        <v>898</v>
      </c>
      <c r="J1" s="266" t="s">
        <v>904</v>
      </c>
      <c r="K1" s="266" t="s">
        <v>899</v>
      </c>
      <c r="L1" s="266" t="s">
        <v>903</v>
      </c>
      <c r="M1" s="266" t="s">
        <v>900</v>
      </c>
      <c r="N1" s="266" t="s">
        <v>901</v>
      </c>
      <c r="O1" s="163" t="s">
        <v>902</v>
      </c>
      <c r="P1" s="264" t="s">
        <v>906</v>
      </c>
      <c r="S1" s="266"/>
    </row>
    <row r="2" spans="1:19" x14ac:dyDescent="0.2">
      <c r="B2" t="s">
        <v>143</v>
      </c>
      <c r="C2" s="266">
        <v>-3.2419762184912799E-3</v>
      </c>
      <c r="D2" s="266">
        <v>4.976840605059437E-2</v>
      </c>
      <c r="E2" s="266">
        <v>6.8976128008292031E-2</v>
      </c>
      <c r="F2" s="266">
        <v>4.0893337220224792E-2</v>
      </c>
      <c r="G2" s="266">
        <v>0.18282965698182879</v>
      </c>
      <c r="H2" s="266">
        <v>-4.8612541703106291E-2</v>
      </c>
      <c r="I2" s="266">
        <v>0.26222055834848645</v>
      </c>
      <c r="J2" s="266">
        <v>0.73777944165151355</v>
      </c>
      <c r="K2" s="266">
        <v>6.0797460564247077E-2</v>
      </c>
      <c r="L2" s="266">
        <v>-1.1531111327049525E-2</v>
      </c>
      <c r="M2" s="266">
        <v>0.64971490527078768</v>
      </c>
      <c r="N2" s="266">
        <v>2.0553295613609378E-2</v>
      </c>
      <c r="O2" s="163">
        <v>1624.7411408679141</v>
      </c>
      <c r="P2" s="264">
        <v>0.93809185606060608</v>
      </c>
      <c r="S2" s="266"/>
    </row>
    <row r="3" spans="1:19" x14ac:dyDescent="0.2">
      <c r="B3" t="s">
        <v>416</v>
      </c>
      <c r="C3" s="266">
        <v>2.6111620922666223E-2</v>
      </c>
      <c r="D3" s="266">
        <v>0.14249335280680073</v>
      </c>
      <c r="E3" s="266">
        <v>0.4824551548515148</v>
      </c>
      <c r="F3" s="266">
        <v>8.8005093060704795E-3</v>
      </c>
      <c r="G3" s="266">
        <v>0.46477923828783285</v>
      </c>
      <c r="H3" s="266">
        <v>0.17210912631539521</v>
      </c>
      <c r="I3" s="266">
        <v>0.56856140741565531</v>
      </c>
      <c r="J3" s="266">
        <v>0.43143859258434475</v>
      </c>
      <c r="K3" s="266">
        <v>2.6588772797064E-3</v>
      </c>
      <c r="L3" s="266">
        <v>9.2030857956034908E-3</v>
      </c>
      <c r="M3" s="266">
        <v>0.59966309552569264</v>
      </c>
      <c r="N3" s="266">
        <v>2.4984856303953459E-2</v>
      </c>
      <c r="O3" s="163">
        <v>951.00614537107901</v>
      </c>
      <c r="P3" s="264">
        <v>0.96832759077657038</v>
      </c>
      <c r="S3" s="266"/>
    </row>
    <row r="4" spans="1:19" x14ac:dyDescent="0.2">
      <c r="B4" t="s">
        <v>301</v>
      </c>
      <c r="C4" s="266">
        <v>8.5125177422764476E-3</v>
      </c>
      <c r="D4" s="266">
        <v>0</v>
      </c>
      <c r="E4" s="266">
        <v>0.21215910867309962</v>
      </c>
      <c r="F4" s="266">
        <v>3.6693336365057484E-2</v>
      </c>
      <c r="G4" s="266">
        <v>0.18262822061477682</v>
      </c>
      <c r="H4" s="266">
        <v>9.4201401225006032E-2</v>
      </c>
      <c r="I4" s="266">
        <v>0.42432569637575596</v>
      </c>
      <c r="J4" s="266">
        <v>0.57567430362424399</v>
      </c>
      <c r="K4" s="266">
        <v>8.4244034845879459E-2</v>
      </c>
      <c r="L4" s="266">
        <v>2.0638225304475108E-2</v>
      </c>
      <c r="M4" s="266">
        <v>0.48074735124826651</v>
      </c>
      <c r="N4" s="266">
        <v>7.7308809941685416E-3</v>
      </c>
      <c r="O4" s="163">
        <v>1597.539942004971</v>
      </c>
      <c r="P4" s="264">
        <v>2.3452060931899643</v>
      </c>
      <c r="S4" s="266"/>
    </row>
    <row r="5" spans="1:19" x14ac:dyDescent="0.2">
      <c r="B5" t="s">
        <v>223</v>
      </c>
      <c r="C5" s="266">
        <v>1.3746322054299853E-2</v>
      </c>
      <c r="D5" s="266">
        <v>1.3943552752864061E-2</v>
      </c>
      <c r="E5" s="266">
        <v>0.10148214259587107</v>
      </c>
      <c r="F5" s="266">
        <v>0.27338434752073976</v>
      </c>
      <c r="G5" s="266">
        <v>4.9731517111211904E-2</v>
      </c>
      <c r="H5" s="266">
        <v>0.10096814783384786</v>
      </c>
      <c r="I5" s="266">
        <v>0.49927019957512608</v>
      </c>
      <c r="J5" s="266">
        <v>0.50072980042487392</v>
      </c>
      <c r="K5" s="266">
        <v>-3.008178852034471E-2</v>
      </c>
      <c r="L5" s="266">
        <v>1.3358303948966305E-2</v>
      </c>
      <c r="M5" s="266">
        <v>0.64156844700198801</v>
      </c>
      <c r="N5" s="266">
        <v>1.2551825526610124E-2</v>
      </c>
      <c r="O5" s="163">
        <v>1374.9097086876154</v>
      </c>
      <c r="P5" s="264">
        <v>1.067964731814842</v>
      </c>
      <c r="S5" s="266"/>
    </row>
    <row r="6" spans="1:19" x14ac:dyDescent="0.2">
      <c r="B6" t="s">
        <v>179</v>
      </c>
      <c r="C6" s="266">
        <v>8.5349147178020238E-3</v>
      </c>
      <c r="D6" s="266">
        <v>6.1051551930450074E-2</v>
      </c>
      <c r="E6" s="266">
        <v>0.47279542845979144</v>
      </c>
      <c r="F6" s="266">
        <v>7.7266844123177608E-2</v>
      </c>
      <c r="G6" s="266">
        <v>5.714425260690127E-3</v>
      </c>
      <c r="H6" s="266">
        <v>0.47823878482991039</v>
      </c>
      <c r="I6" s="266">
        <v>0.69218936933857456</v>
      </c>
      <c r="J6" s="266">
        <v>0.30781063066142539</v>
      </c>
      <c r="K6" s="266">
        <v>9.7682483088720111E-4</v>
      </c>
      <c r="L6" s="266">
        <v>1.489963124862634E-2</v>
      </c>
      <c r="M6" s="266">
        <v>0.67148980716796625</v>
      </c>
      <c r="N6" s="266">
        <v>-1.5494684840129542E-2</v>
      </c>
      <c r="O6" s="163">
        <v>1542.7847225209721</v>
      </c>
      <c r="P6" s="264">
        <v>0.81396987103067087</v>
      </c>
      <c r="S6" s="266"/>
    </row>
    <row r="7" spans="1:19" x14ac:dyDescent="0.2">
      <c r="B7" t="s">
        <v>346</v>
      </c>
      <c r="C7" s="266">
        <v>3.7776197891980952E-2</v>
      </c>
      <c r="D7" s="266">
        <v>2.2080307204274147E-2</v>
      </c>
      <c r="E7" s="266">
        <v>0.81181651222973539</v>
      </c>
      <c r="F7" s="266">
        <v>3.243175557225144E-2</v>
      </c>
      <c r="G7" s="266">
        <v>0.16328575006260956</v>
      </c>
      <c r="H7" s="266">
        <v>0.70630687035645712</v>
      </c>
      <c r="I7" s="266">
        <v>0.74021752917300865</v>
      </c>
      <c r="J7" s="266">
        <v>0.25978247082699135</v>
      </c>
      <c r="K7" s="266">
        <v>6.4926120711244678E-2</v>
      </c>
      <c r="L7" s="266">
        <v>3.6360505885299273E-2</v>
      </c>
      <c r="M7" s="266">
        <v>0.59777308597285073</v>
      </c>
      <c r="N7" s="266">
        <v>-1.2811668338295844E-2</v>
      </c>
      <c r="O7" s="163">
        <v>1283.2674124406697</v>
      </c>
      <c r="P7" s="264">
        <v>1.171017274472169</v>
      </c>
      <c r="S7" s="266"/>
    </row>
    <row r="8" spans="1:19" x14ac:dyDescent="0.2">
      <c r="B8" t="s">
        <v>347</v>
      </c>
      <c r="C8" s="266">
        <v>1.1136943416939413E-2</v>
      </c>
      <c r="D8" s="266">
        <v>4.9866192383770214E-2</v>
      </c>
      <c r="E8" s="266">
        <v>0.66892172670002159</v>
      </c>
      <c r="F8" s="266">
        <v>6.6637855088844927E-2</v>
      </c>
      <c r="G8" s="266">
        <v>0.21405894183939761</v>
      </c>
      <c r="H8" s="266">
        <v>0.53349877827828662</v>
      </c>
      <c r="I8" s="266">
        <v>0.67933708933928438</v>
      </c>
      <c r="J8" s="266">
        <v>0.32066291066071562</v>
      </c>
      <c r="K8" s="266">
        <v>7.4965509216934562E-3</v>
      </c>
      <c r="L8" s="266">
        <v>1.7378368045743921E-2</v>
      </c>
      <c r="M8" s="266">
        <v>0.48486565374338358</v>
      </c>
      <c r="N8" s="266">
        <v>-1.4394491298088055E-2</v>
      </c>
      <c r="O8" s="163">
        <v>1299.8456273400782</v>
      </c>
      <c r="P8" s="264">
        <v>0.84651197162281999</v>
      </c>
      <c r="S8" s="266"/>
    </row>
    <row r="9" spans="1:19" x14ac:dyDescent="0.2">
      <c r="B9" t="s">
        <v>302</v>
      </c>
      <c r="C9" s="266">
        <v>2.7958196826850169E-2</v>
      </c>
      <c r="D9" s="266">
        <v>2.8273426654490244E-2</v>
      </c>
      <c r="E9" s="266">
        <v>0.99522461823805664</v>
      </c>
      <c r="F9" s="266">
        <v>3.4493580518478097E-2</v>
      </c>
      <c r="G9" s="266">
        <v>0.10065339888998527</v>
      </c>
      <c r="H9" s="266">
        <v>0.93192607064398381</v>
      </c>
      <c r="I9" s="266">
        <v>0.72661870503597126</v>
      </c>
      <c r="J9" s="266">
        <v>0.2733812949640288</v>
      </c>
      <c r="K9" s="266">
        <v>6.7997591104049038E-3</v>
      </c>
      <c r="L9" s="266">
        <v>4.5702580515650758E-2</v>
      </c>
      <c r="M9" s="266">
        <v>0.62894603528130577</v>
      </c>
      <c r="N9" s="266">
        <v>4.2276966378632505E-3</v>
      </c>
      <c r="O9" s="163">
        <v>2137.8477159087765</v>
      </c>
      <c r="P9" s="264">
        <v>0.6768707482993197</v>
      </c>
      <c r="S9" s="266"/>
    </row>
    <row r="10" spans="1:19" x14ac:dyDescent="0.2">
      <c r="B10" t="s">
        <v>199</v>
      </c>
      <c r="C10" s="266">
        <v>2.2355403799320075E-2</v>
      </c>
      <c r="D10" s="266">
        <v>5.2277664747060245E-3</v>
      </c>
      <c r="E10" s="266">
        <v>0.8502844925687093</v>
      </c>
      <c r="F10" s="266">
        <v>0.12566985068450637</v>
      </c>
      <c r="G10" s="266">
        <v>0.22172488706507121</v>
      </c>
      <c r="H10" s="266">
        <v>0.71680920031725237</v>
      </c>
      <c r="I10" s="266">
        <v>0.98136116856633571</v>
      </c>
      <c r="J10" s="266">
        <v>1.8638831433664255E-2</v>
      </c>
      <c r="K10" s="266">
        <v>-2.2518017862684921E-2</v>
      </c>
      <c r="L10" s="266">
        <v>4.069192041104866E-2</v>
      </c>
      <c r="M10" s="266">
        <v>0.66559142364418733</v>
      </c>
      <c r="N10" s="266">
        <v>-2.8096176866263495E-2</v>
      </c>
      <c r="O10" s="163">
        <v>2203.4451543035302</v>
      </c>
      <c r="P10" s="264">
        <v>1.2308576792209316</v>
      </c>
      <c r="S10" s="266"/>
    </row>
    <row r="11" spans="1:19" x14ac:dyDescent="0.2">
      <c r="B11" t="s">
        <v>511</v>
      </c>
      <c r="C11" s="266">
        <v>4.0944869137082146E-2</v>
      </c>
      <c r="D11" s="266">
        <v>0.10848041209163617</v>
      </c>
      <c r="E11" s="266">
        <v>0.81310017622339703</v>
      </c>
      <c r="F11" s="266">
        <v>2.7817541005828929E-2</v>
      </c>
      <c r="G11" s="266">
        <v>0.60460620848583435</v>
      </c>
      <c r="H11" s="266">
        <v>0.41135212145858752</v>
      </c>
      <c r="I11" s="266">
        <v>0.68432069885702695</v>
      </c>
      <c r="J11" s="266">
        <v>0.31567930114297305</v>
      </c>
      <c r="K11" s="266">
        <v>2.9822421038362477E-3</v>
      </c>
      <c r="L11" s="266">
        <v>-1.4669242239392708E-2</v>
      </c>
      <c r="M11" s="266">
        <v>0.59149871672519427</v>
      </c>
      <c r="N11" s="266">
        <v>-9.3609995699033676E-3</v>
      </c>
      <c r="O11" s="163">
        <v>2129.658924529992</v>
      </c>
      <c r="P11" s="264">
        <v>0.38828499407175665</v>
      </c>
      <c r="S11" s="266"/>
    </row>
    <row r="12" spans="1:19" x14ac:dyDescent="0.2">
      <c r="B12" t="s">
        <v>348</v>
      </c>
      <c r="C12" s="266">
        <v>-1.891501484632052E-3</v>
      </c>
      <c r="D12" s="266">
        <v>9.6160900265940027E-2</v>
      </c>
      <c r="E12" s="266">
        <v>0.3640070480657121</v>
      </c>
      <c r="F12" s="266">
        <v>8.618814929322835E-2</v>
      </c>
      <c r="G12" s="266">
        <v>0.19058270996816579</v>
      </c>
      <c r="H12" s="266">
        <v>0.2466592103022284</v>
      </c>
      <c r="I12" s="266">
        <v>0.45877669828051509</v>
      </c>
      <c r="J12" s="266">
        <v>0.54122330171948496</v>
      </c>
      <c r="K12" s="266">
        <v>-4.7711998742352588E-2</v>
      </c>
      <c r="L12" s="266">
        <v>-5.1910707033655168E-3</v>
      </c>
      <c r="M12" s="266">
        <v>0.54691821727726175</v>
      </c>
      <c r="N12" s="266">
        <v>1.3899555022646459E-2</v>
      </c>
      <c r="O12" s="163">
        <v>1468.0163478947466</v>
      </c>
      <c r="P12" s="264">
        <v>0.65488754442605601</v>
      </c>
      <c r="S12" s="266"/>
    </row>
    <row r="13" spans="1:19" x14ac:dyDescent="0.2">
      <c r="B13" t="s">
        <v>417</v>
      </c>
      <c r="C13" s="266">
        <v>1.1629164239485505E-2</v>
      </c>
      <c r="D13" s="266">
        <v>1.0650249404574664E-2</v>
      </c>
      <c r="E13" s="266">
        <v>0.50847076798633895</v>
      </c>
      <c r="F13" s="266">
        <v>6.5833820159079681E-2</v>
      </c>
      <c r="G13" s="266">
        <v>0.1175122455399272</v>
      </c>
      <c r="H13" s="266">
        <v>0.43763762189367728</v>
      </c>
      <c r="I13" s="266">
        <v>0.63861972039352022</v>
      </c>
      <c r="J13" s="266">
        <v>0.36138027960647978</v>
      </c>
      <c r="K13" s="266">
        <v>3.7972408214622749E-2</v>
      </c>
      <c r="L13" s="266">
        <v>1.4278973621534175E-2</v>
      </c>
      <c r="M13" s="266">
        <v>0.53461844675166292</v>
      </c>
      <c r="N13" s="266">
        <v>3.7302951090875731E-2</v>
      </c>
      <c r="O13" s="163">
        <v>1228.0292200557103</v>
      </c>
      <c r="P13" s="264">
        <v>1.1196098562628336</v>
      </c>
      <c r="S13" s="266"/>
    </row>
    <row r="14" spans="1:19" x14ac:dyDescent="0.2">
      <c r="B14" t="s">
        <v>180</v>
      </c>
      <c r="C14" s="266">
        <v>1.6905991547200523E-2</v>
      </c>
      <c r="D14" s="266">
        <v>0.19665683382497542</v>
      </c>
      <c r="E14" s="266">
        <v>0.85535889872173054</v>
      </c>
      <c r="F14" s="266">
        <v>7.3992133726646994E-2</v>
      </c>
      <c r="G14" s="266">
        <v>4.51819075712881E-2</v>
      </c>
      <c r="H14" s="266">
        <v>0.83396607669616518</v>
      </c>
      <c r="I14" s="266">
        <v>0.64959825303059993</v>
      </c>
      <c r="J14" s="266">
        <v>0.35040174696940002</v>
      </c>
      <c r="K14" s="266">
        <v>-2.5712881022615534E-2</v>
      </c>
      <c r="L14" s="266">
        <v>2.8859390363815143E-2</v>
      </c>
      <c r="M14" s="266">
        <v>0.31911570695889008</v>
      </c>
      <c r="N14" s="266">
        <v>2.7835898046036908E-2</v>
      </c>
      <c r="O14" s="163">
        <v>4152.2943242499314</v>
      </c>
      <c r="P14" s="264">
        <v>0.66646001239925601</v>
      </c>
      <c r="S14" s="266"/>
    </row>
    <row r="15" spans="1:19" x14ac:dyDescent="0.2">
      <c r="B15" t="s">
        <v>276</v>
      </c>
      <c r="C15" s="266">
        <v>7.5772659351750732E-2</v>
      </c>
      <c r="D15" s="266">
        <v>6.7298614684586491E-2</v>
      </c>
      <c r="E15" s="266">
        <v>0.60785322706774225</v>
      </c>
      <c r="F15" s="266">
        <v>0.24939526667017825</v>
      </c>
      <c r="G15" s="266">
        <v>0.24361130132129674</v>
      </c>
      <c r="H15" s="266">
        <v>0.4745610871828948</v>
      </c>
      <c r="I15" s="266">
        <v>0.68494482460740169</v>
      </c>
      <c r="J15" s="266">
        <v>0.31505517539259831</v>
      </c>
      <c r="K15" s="266">
        <v>6.1358654473405917E-2</v>
      </c>
      <c r="L15" s="266">
        <v>2.4114374622674763E-2</v>
      </c>
      <c r="M15" s="266">
        <v>0.62109912751638796</v>
      </c>
      <c r="N15" s="266">
        <v>-9.5346279086229689E-3</v>
      </c>
      <c r="O15" s="163">
        <v>1743.8199383171998</v>
      </c>
      <c r="P15" s="264">
        <v>0.40529324622046647</v>
      </c>
      <c r="S15" s="266"/>
    </row>
    <row r="16" spans="1:19" x14ac:dyDescent="0.2">
      <c r="B16" t="s">
        <v>303</v>
      </c>
      <c r="C16" s="266">
        <v>2.964434967019601E-2</v>
      </c>
      <c r="D16" s="266">
        <v>0</v>
      </c>
      <c r="E16" s="266">
        <v>-3.4132743625264243E-2</v>
      </c>
      <c r="F16" s="266">
        <v>5.9411393397133645E-2</v>
      </c>
      <c r="G16" s="266">
        <v>-6.6723434541133405E-3</v>
      </c>
      <c r="H16" s="266">
        <v>-2.2532906303352269E-2</v>
      </c>
      <c r="I16" s="266">
        <v>0.33751970055161545</v>
      </c>
      <c r="J16" s="266">
        <v>0.6624802994483846</v>
      </c>
      <c r="K16" s="266">
        <v>4.4511944553884998E-2</v>
      </c>
      <c r="L16" s="266">
        <v>2.4928086964994555E-2</v>
      </c>
      <c r="M16" s="266">
        <v>0.5032207500667496</v>
      </c>
      <c r="N16" s="266">
        <v>2.6170511917807174E-2</v>
      </c>
      <c r="O16" s="163">
        <v>1644.6082604313647</v>
      </c>
      <c r="P16" s="264">
        <v>3.5197433198655483</v>
      </c>
      <c r="S16" s="266"/>
    </row>
    <row r="17" spans="2:19" x14ac:dyDescent="0.2">
      <c r="B17" t="s">
        <v>304</v>
      </c>
      <c r="C17" s="266">
        <v>5.1038108065334216E-2</v>
      </c>
      <c r="D17" s="266">
        <v>0.10651884934589956</v>
      </c>
      <c r="E17" s="266">
        <v>0.5648187157124771</v>
      </c>
      <c r="F17" s="266">
        <v>8.5752391334927555E-2</v>
      </c>
      <c r="G17" s="266">
        <v>-6.5534885356590244E-2</v>
      </c>
      <c r="H17" s="266">
        <v>0.6190173758615839</v>
      </c>
      <c r="I17" s="266">
        <v>0.34945564365457549</v>
      </c>
      <c r="J17" s="266">
        <v>0.65054435634542451</v>
      </c>
      <c r="K17" s="266">
        <v>3.4779856519904347E-2</v>
      </c>
      <c r="L17" s="266">
        <v>4.5364107117738077E-2</v>
      </c>
      <c r="M17" s="266">
        <v>0.45865651905416199</v>
      </c>
      <c r="N17" s="266">
        <v>2.5762666115744882E-2</v>
      </c>
      <c r="O17" s="163">
        <v>3692.548744941751</v>
      </c>
      <c r="P17" s="264">
        <v>0.64463836701774357</v>
      </c>
      <c r="S17" s="266"/>
    </row>
    <row r="18" spans="2:19" x14ac:dyDescent="0.2">
      <c r="B18" t="s">
        <v>224</v>
      </c>
      <c r="C18" s="266">
        <v>-7.4274757679086943E-3</v>
      </c>
      <c r="D18" s="266">
        <v>7.8828986644617904E-2</v>
      </c>
      <c r="E18" s="266">
        <v>0.91873257003517528</v>
      </c>
      <c r="F18" s="266">
        <v>0.10175420771613157</v>
      </c>
      <c r="G18" s="266">
        <v>9.789684263632159E-2</v>
      </c>
      <c r="H18" s="266">
        <v>0.86535219039477562</v>
      </c>
      <c r="I18" s="266">
        <v>0.87986441500330204</v>
      </c>
      <c r="J18" s="266">
        <v>0.12013558499669798</v>
      </c>
      <c r="K18" s="266">
        <v>3.7389464243171661E-2</v>
      </c>
      <c r="L18" s="266">
        <v>-2.2028322379023782E-4</v>
      </c>
      <c r="M18" s="266">
        <v>0.59368955310220606</v>
      </c>
      <c r="N18" s="266">
        <v>-2.6854847908075352E-2</v>
      </c>
      <c r="O18" s="163">
        <v>1994.9369911095284</v>
      </c>
      <c r="P18" s="264">
        <v>0.59282689744757666</v>
      </c>
      <c r="S18" s="266"/>
    </row>
    <row r="19" spans="2:19" ht="15" x14ac:dyDescent="0.25">
      <c r="B19" t="s">
        <v>156</v>
      </c>
      <c r="C19" s="266">
        <v>-2.6805737245374696E-2</v>
      </c>
      <c r="D19" s="271">
        <v>7.442652290634481E-3</v>
      </c>
      <c r="E19" s="271">
        <v>0.12722351965427681</v>
      </c>
      <c r="F19" s="271">
        <v>9.8871597878516706E-3</v>
      </c>
      <c r="G19" s="271">
        <v>6.8511687801471072E-2</v>
      </c>
      <c r="H19" s="271">
        <v>8.2507148001833369E-2</v>
      </c>
      <c r="I19" s="271">
        <v>0.44678765556776667</v>
      </c>
      <c r="J19" s="271">
        <v>0.55321234443223333</v>
      </c>
      <c r="K19" s="271">
        <v>0.13195975293013509</v>
      </c>
      <c r="L19" s="271">
        <v>-1.5529170395268133E-2</v>
      </c>
      <c r="M19" s="271">
        <v>0.79824161436105656</v>
      </c>
      <c r="N19" s="271">
        <v>-3.7815730407611138E-2</v>
      </c>
      <c r="O19" s="272">
        <v>1946.4877229046542</v>
      </c>
      <c r="P19" s="264">
        <v>1.5221546481320591</v>
      </c>
      <c r="S19" s="266"/>
    </row>
    <row r="20" spans="2:19" x14ac:dyDescent="0.2">
      <c r="B20" t="s">
        <v>225</v>
      </c>
      <c r="C20" s="266">
        <v>2.77377665196482E-2</v>
      </c>
      <c r="D20" s="266">
        <v>4.7612054121204117E-2</v>
      </c>
      <c r="E20" s="266">
        <v>0.78681085334404044</v>
      </c>
      <c r="F20" s="266">
        <v>9.0285992999059539E-2</v>
      </c>
      <c r="G20" s="266">
        <v>4.9934921973737043E-2</v>
      </c>
      <c r="H20" s="266">
        <v>0.76418877478152381</v>
      </c>
      <c r="I20" s="266">
        <v>0.83721628424549499</v>
      </c>
      <c r="J20" s="266">
        <v>0.16278371575450498</v>
      </c>
      <c r="K20" s="266">
        <v>2.7742371858267335E-3</v>
      </c>
      <c r="L20" s="266">
        <v>2.3047457106439625E-2</v>
      </c>
      <c r="M20" s="266">
        <v>0.61889139973949758</v>
      </c>
      <c r="N20" s="266">
        <v>-3.2579282222563753E-2</v>
      </c>
      <c r="O20" s="163">
        <v>2344.6699002703554</v>
      </c>
      <c r="P20" s="264">
        <v>1.0132062679640577</v>
      </c>
      <c r="S20" s="266"/>
    </row>
    <row r="21" spans="2:19" x14ac:dyDescent="0.2">
      <c r="B21" t="s">
        <v>144</v>
      </c>
      <c r="C21" s="266">
        <v>0.10673782172893358</v>
      </c>
      <c r="D21" s="266">
        <v>0</v>
      </c>
      <c r="E21" s="266">
        <v>0.65702783720423774</v>
      </c>
      <c r="F21" s="266">
        <v>1.5696058210886359E-2</v>
      </c>
      <c r="G21" s="266">
        <v>7.7891008314010843E-2</v>
      </c>
      <c r="H21" s="266">
        <v>0.60672438861915678</v>
      </c>
      <c r="I21" s="266">
        <v>0.5372587610226548</v>
      </c>
      <c r="J21" s="266">
        <v>0.46274123897734526</v>
      </c>
      <c r="K21" s="266">
        <v>3.2701989469773637E-2</v>
      </c>
      <c r="L21" s="266">
        <v>8.8188243809328604E-2</v>
      </c>
      <c r="M21" s="266">
        <v>0.67957813687902546</v>
      </c>
      <c r="N21" s="266">
        <v>-1.6658098308798674E-2</v>
      </c>
      <c r="O21" s="163">
        <v>2352.5515807860261</v>
      </c>
      <c r="P21" s="264">
        <v>0.81940562881322576</v>
      </c>
      <c r="S21" s="266"/>
    </row>
    <row r="22" spans="2:19" x14ac:dyDescent="0.2">
      <c r="B22" t="s">
        <v>418</v>
      </c>
      <c r="C22" s="266">
        <v>1.7043547845840109E-2</v>
      </c>
      <c r="D22" s="266">
        <v>0</v>
      </c>
      <c r="E22" s="266">
        <v>-0.21485063724749384</v>
      </c>
      <c r="F22" s="266">
        <v>6.8006649539066044E-2</v>
      </c>
      <c r="G22" s="266">
        <v>0.15016875724144879</v>
      </c>
      <c r="H22" s="266">
        <v>-0.3073029066545766</v>
      </c>
      <c r="I22" s="266">
        <v>0.15958581373252409</v>
      </c>
      <c r="J22" s="266">
        <v>0.84041418626747588</v>
      </c>
      <c r="K22" s="266">
        <v>-2.1812503148455998E-2</v>
      </c>
      <c r="L22" s="266">
        <v>3.5716084831998389E-2</v>
      </c>
      <c r="M22" s="266">
        <v>0.58102438943190404</v>
      </c>
      <c r="N22" s="266">
        <v>1.4523882823593919E-2</v>
      </c>
      <c r="O22" s="163">
        <v>1395.2424058890417</v>
      </c>
      <c r="P22" s="264">
        <v>1.7083839611178615</v>
      </c>
      <c r="S22" s="266"/>
    </row>
    <row r="23" spans="2:19" x14ac:dyDescent="0.2">
      <c r="B23" t="s">
        <v>419</v>
      </c>
      <c r="C23" s="266">
        <v>6.3787857865829601E-4</v>
      </c>
      <c r="D23" s="266">
        <v>0</v>
      </c>
      <c r="E23" s="266">
        <v>-0.22356976601739556</v>
      </c>
      <c r="F23" s="266">
        <v>6.4927110131079262E-3</v>
      </c>
      <c r="G23" s="266">
        <v>1.8008085262771041E-2</v>
      </c>
      <c r="H23" s="266">
        <v>-0.23485605782187921</v>
      </c>
      <c r="I23" s="266">
        <v>9.5853097262010994E-2</v>
      </c>
      <c r="J23" s="266">
        <v>0.90414690273798903</v>
      </c>
      <c r="K23" s="266">
        <v>-2.107068479725591E-2</v>
      </c>
      <c r="L23" s="266">
        <v>-2.1131936787945609E-2</v>
      </c>
      <c r="M23" s="266">
        <v>0.61020119182341359</v>
      </c>
      <c r="N23" s="266">
        <v>3.2351197588848662E-2</v>
      </c>
      <c r="O23" s="163">
        <v>1724.0506293181136</v>
      </c>
      <c r="P23" s="264">
        <v>2.7616998386229157</v>
      </c>
      <c r="S23" s="266"/>
    </row>
    <row r="24" spans="2:19" x14ac:dyDescent="0.2">
      <c r="B24" t="s">
        <v>277</v>
      </c>
      <c r="C24" s="266">
        <v>1.2052644379174228E-2</v>
      </c>
      <c r="D24" s="266">
        <v>3.3161981450859156E-2</v>
      </c>
      <c r="E24" s="266">
        <v>0.39799769933136819</v>
      </c>
      <c r="F24" s="266">
        <v>0</v>
      </c>
      <c r="G24" s="266">
        <v>3.6307426845927099E-3</v>
      </c>
      <c r="H24" s="266">
        <v>0.3955651017326911</v>
      </c>
      <c r="I24" s="266">
        <v>0.4813878531251975</v>
      </c>
      <c r="J24" s="266">
        <v>0.5186121468748025</v>
      </c>
      <c r="K24" s="266">
        <v>-9.5262060536343372E-3</v>
      </c>
      <c r="L24" s="266">
        <v>2.4026709324897547E-2</v>
      </c>
      <c r="M24" s="266">
        <v>0.61733910907693934</v>
      </c>
      <c r="N24" s="266">
        <v>1.7309323999964717E-2</v>
      </c>
      <c r="O24" s="163">
        <v>2056.2718864692929</v>
      </c>
      <c r="P24" s="264">
        <v>0.95321785307877105</v>
      </c>
      <c r="S24" s="266"/>
    </row>
    <row r="25" spans="2:19" x14ac:dyDescent="0.2">
      <c r="B25" t="s">
        <v>349</v>
      </c>
      <c r="C25" s="266">
        <v>7.6534084645219103E-2</v>
      </c>
      <c r="D25" s="266">
        <v>0.11784967762828628</v>
      </c>
      <c r="E25" s="266">
        <v>0.90187534960402749</v>
      </c>
      <c r="F25" s="266">
        <v>0.10929235238123276</v>
      </c>
      <c r="G25" s="266">
        <v>0.13282499681062993</v>
      </c>
      <c r="H25" s="266">
        <v>0.82599768402665341</v>
      </c>
      <c r="I25" s="266">
        <v>0.61066409289224621</v>
      </c>
      <c r="J25" s="266">
        <v>0.38933590710775384</v>
      </c>
      <c r="K25" s="266">
        <v>-3.2629709227583632E-2</v>
      </c>
      <c r="L25" s="266">
        <v>1.9943376414362959E-2</v>
      </c>
      <c r="M25" s="266">
        <v>0.60242673833184768</v>
      </c>
      <c r="N25" s="266">
        <v>2.45786424956825E-2</v>
      </c>
      <c r="O25" s="163">
        <v>1443.1519307463179</v>
      </c>
      <c r="P25" s="264">
        <v>0.74555602957906708</v>
      </c>
      <c r="S25" s="266"/>
    </row>
    <row r="26" spans="2:19" x14ac:dyDescent="0.2">
      <c r="B26" t="s">
        <v>226</v>
      </c>
      <c r="C26" s="266">
        <v>5.0594060205639328E-2</v>
      </c>
      <c r="D26" s="266">
        <v>0</v>
      </c>
      <c r="E26" s="266">
        <v>1.6493098147601819</v>
      </c>
      <c r="F26" s="266">
        <v>0.18569010760368307</v>
      </c>
      <c r="G26" s="266">
        <v>0.75279101905190748</v>
      </c>
      <c r="H26" s="266">
        <v>1.1672226449078458</v>
      </c>
      <c r="I26" s="266">
        <v>0.75922721857357534</v>
      </c>
      <c r="J26" s="266">
        <v>0.24077278142642472</v>
      </c>
      <c r="K26" s="266">
        <v>4.9951089234973524E-2</v>
      </c>
      <c r="L26" s="266">
        <v>6.2219539462447404E-2</v>
      </c>
      <c r="M26" s="266">
        <v>0.57362295738847602</v>
      </c>
      <c r="N26" s="266">
        <v>2.7567559393914649E-2</v>
      </c>
      <c r="O26" s="163">
        <v>1292.0544673679728</v>
      </c>
      <c r="P26" s="264">
        <v>0.6491168733558812</v>
      </c>
      <c r="S26" s="266"/>
    </row>
    <row r="27" spans="2:19" x14ac:dyDescent="0.2">
      <c r="B27" t="s">
        <v>157</v>
      </c>
      <c r="C27" s="266">
        <v>-1.5270234078863097E-2</v>
      </c>
      <c r="D27" s="266">
        <v>0</v>
      </c>
      <c r="E27" s="266">
        <v>0.1876531862745098</v>
      </c>
      <c r="F27" s="266">
        <v>0.22135416666666666</v>
      </c>
      <c r="G27" s="266">
        <v>0.18485753676470587</v>
      </c>
      <c r="H27" s="266">
        <v>9.036113664215685E-2</v>
      </c>
      <c r="I27" s="266">
        <v>0.5044439851178173</v>
      </c>
      <c r="J27" s="266">
        <v>0.4955560148821827</v>
      </c>
      <c r="K27" s="266">
        <v>9.673713235294118E-2</v>
      </c>
      <c r="L27" s="266">
        <v>-4.0019914215686271E-3</v>
      </c>
      <c r="M27" s="266">
        <v>0.66810683760366874</v>
      </c>
      <c r="N27" s="266">
        <v>-1.0039154719938803E-2</v>
      </c>
      <c r="O27" s="163">
        <v>1524.8682595419846</v>
      </c>
      <c r="P27" s="264">
        <v>1.9745478901540523</v>
      </c>
      <c r="S27" s="266"/>
    </row>
    <row r="28" spans="2:19" x14ac:dyDescent="0.2">
      <c r="B28" t="s">
        <v>479</v>
      </c>
      <c r="C28" s="266">
        <v>4.8903673846004421E-2</v>
      </c>
      <c r="D28" s="266">
        <v>8.5197536574085339E-2</v>
      </c>
      <c r="E28" s="266">
        <v>-0.24458995642754558</v>
      </c>
      <c r="F28" s="266">
        <v>5.3163262822229253E-2</v>
      </c>
      <c r="G28" s="266">
        <v>2.2370438889024125E-2</v>
      </c>
      <c r="H28" s="266">
        <v>-0.25319855894452425</v>
      </c>
      <c r="I28" s="266">
        <v>0.20904773061276649</v>
      </c>
      <c r="J28" s="266">
        <v>0.79095226938723351</v>
      </c>
      <c r="K28" s="266">
        <v>-6.9715927070908693E-2</v>
      </c>
      <c r="L28" s="266">
        <v>4.7010783573914951E-2</v>
      </c>
      <c r="M28" s="266">
        <v>0.61505028747881485</v>
      </c>
      <c r="N28" s="266">
        <v>-2.3271103290189273E-2</v>
      </c>
      <c r="O28" s="163">
        <v>1626.8454587645031</v>
      </c>
      <c r="P28" s="264">
        <v>0.6295466123280693</v>
      </c>
      <c r="S28" s="266"/>
    </row>
    <row r="29" spans="2:19" x14ac:dyDescent="0.2">
      <c r="B29" t="s">
        <v>305</v>
      </c>
      <c r="C29" s="266">
        <v>-3.694645924794808E-2</v>
      </c>
      <c r="D29" s="266">
        <v>5.5034996613230976E-2</v>
      </c>
      <c r="E29" s="266">
        <v>0.55627681192142697</v>
      </c>
      <c r="F29" s="266">
        <v>4.7414766312937458E-2</v>
      </c>
      <c r="G29" s="266">
        <v>5.0801535335290131E-3</v>
      </c>
      <c r="H29" s="266">
        <v>0.55856288101151508</v>
      </c>
      <c r="I29" s="266">
        <v>0.52140202230126698</v>
      </c>
      <c r="J29" s="266">
        <v>0.47859797769873308</v>
      </c>
      <c r="K29" s="266">
        <v>-9.7256717091894332E-2</v>
      </c>
      <c r="L29" s="266">
        <v>6.7170918943328063E-3</v>
      </c>
      <c r="M29" s="266">
        <v>0.6181957962750757</v>
      </c>
      <c r="N29" s="266">
        <v>4.8406105070019544E-2</v>
      </c>
      <c r="O29" s="163">
        <v>1199.0092093831452</v>
      </c>
      <c r="P29" s="264">
        <v>0.5980666497074536</v>
      </c>
      <c r="S29" s="266"/>
    </row>
    <row r="30" spans="2:19" x14ac:dyDescent="0.2">
      <c r="B30" t="s">
        <v>480</v>
      </c>
      <c r="C30" s="266">
        <v>-8.6217078067792607E-3</v>
      </c>
      <c r="D30" s="266">
        <v>0</v>
      </c>
      <c r="E30" s="266">
        <v>-0.41000398687398409</v>
      </c>
      <c r="F30" s="266">
        <v>0.16309381421167235</v>
      </c>
      <c r="G30" s="266">
        <v>8.5043088907289843E-2</v>
      </c>
      <c r="H30" s="266">
        <v>-0.44741159873646763</v>
      </c>
      <c r="I30" s="266">
        <v>0.22118472974213085</v>
      </c>
      <c r="J30" s="266">
        <v>0.77881527025786912</v>
      </c>
      <c r="K30" s="266">
        <v>-4.1616830741865243E-2</v>
      </c>
      <c r="L30" s="266">
        <v>-6.8160210997638545E-3</v>
      </c>
      <c r="M30" s="266">
        <v>0.67221490965377306</v>
      </c>
      <c r="N30" s="266">
        <v>6.6347287414490292E-3</v>
      </c>
      <c r="O30" s="163">
        <v>1508.4678376967256</v>
      </c>
      <c r="P30" s="264">
        <v>2.7048524262131064</v>
      </c>
      <c r="S30" s="266"/>
    </row>
    <row r="31" spans="2:19" x14ac:dyDescent="0.2">
      <c r="B31" t="s">
        <v>639</v>
      </c>
      <c r="C31" s="266">
        <v>0.12979236515499087</v>
      </c>
      <c r="D31" s="266">
        <v>6.3630506371402662E-2</v>
      </c>
      <c r="E31" s="266">
        <v>0.16361618861260918</v>
      </c>
      <c r="F31" s="266">
        <v>0.13668687061518636</v>
      </c>
      <c r="G31" s="266">
        <v>3.4959194387438552E-3</v>
      </c>
      <c r="H31" s="266">
        <v>0.17767634706247318</v>
      </c>
      <c r="I31" s="266">
        <v>0.40486442453159549</v>
      </c>
      <c r="J31" s="266">
        <v>0.59513557546840457</v>
      </c>
      <c r="K31" s="266">
        <v>1.1764425141984442E-2</v>
      </c>
      <c r="L31" s="266">
        <v>2.6252207321147331E-2</v>
      </c>
      <c r="M31" s="266">
        <v>0.69219881445759546</v>
      </c>
      <c r="N31" s="266">
        <v>2.7356605434570927E-2</v>
      </c>
      <c r="O31" s="163">
        <v>1399.5329983047438</v>
      </c>
      <c r="P31" s="264">
        <v>1.0044834898515602</v>
      </c>
      <c r="S31" s="266"/>
    </row>
    <row r="32" spans="2:19" x14ac:dyDescent="0.2">
      <c r="B32" t="s">
        <v>420</v>
      </c>
      <c r="C32" s="266">
        <v>6.5953581057320368E-2</v>
      </c>
      <c r="D32" s="266">
        <v>6.6637060064394363E-2</v>
      </c>
      <c r="E32" s="266">
        <v>0.64458754302209398</v>
      </c>
      <c r="F32" s="266">
        <v>1.2901076940157656E-2</v>
      </c>
      <c r="G32" s="266">
        <v>0.24158987454202288</v>
      </c>
      <c r="H32" s="266">
        <v>0.48427045631175752</v>
      </c>
      <c r="I32" s="266">
        <v>0.68104962670180058</v>
      </c>
      <c r="J32" s="266">
        <v>0.31895037329819936</v>
      </c>
      <c r="K32" s="266">
        <v>1.025868768735428E-2</v>
      </c>
      <c r="L32" s="266">
        <v>3.3546130787165535E-2</v>
      </c>
      <c r="M32" s="266">
        <v>0.52054929456971744</v>
      </c>
      <c r="N32" s="266">
        <v>2.8773113182467509E-2</v>
      </c>
      <c r="O32" s="163">
        <v>1432.5323714036617</v>
      </c>
      <c r="P32" s="264">
        <v>1.2041785375118708</v>
      </c>
      <c r="S32" s="266"/>
    </row>
    <row r="33" spans="2:19" x14ac:dyDescent="0.2">
      <c r="B33" t="s">
        <v>519</v>
      </c>
      <c r="C33" s="266">
        <v>-0.53350039154267814</v>
      </c>
      <c r="D33" s="266">
        <v>0.14443909484833894</v>
      </c>
      <c r="E33" s="266">
        <v>0.1306692344727973</v>
      </c>
      <c r="F33" s="266">
        <v>4.2882362381640185E-2</v>
      </c>
      <c r="G33" s="266">
        <v>9.3885411651420322E-2</v>
      </c>
      <c r="H33" s="266">
        <v>7.2911892152142485E-2</v>
      </c>
      <c r="I33" s="266">
        <v>0.42451800654783556</v>
      </c>
      <c r="J33" s="266">
        <v>0.57548199345216444</v>
      </c>
      <c r="K33" s="266">
        <v>-4.8146364949446319E-3</v>
      </c>
      <c r="L33" s="266">
        <v>6.1547103193708872E-3</v>
      </c>
      <c r="M33" s="266">
        <v>0.67751589746737728</v>
      </c>
      <c r="N33" s="266">
        <v>7.0835727457861236E-3</v>
      </c>
      <c r="O33" s="163">
        <v>2089.2850080183275</v>
      </c>
      <c r="P33" s="264">
        <v>0.69434589800443458</v>
      </c>
      <c r="S33" s="266"/>
    </row>
    <row r="34" spans="2:19" x14ac:dyDescent="0.2">
      <c r="B34" t="s">
        <v>520</v>
      </c>
      <c r="C34" s="266">
        <v>9.2041643658500455E-2</v>
      </c>
      <c r="D34" s="266">
        <v>1.2023637086126672E-2</v>
      </c>
      <c r="E34" s="266">
        <v>0.82083755271557302</v>
      </c>
      <c r="F34" s="266">
        <v>0.15721738684578213</v>
      </c>
      <c r="G34" s="266">
        <v>1.2049273838975556E-3</v>
      </c>
      <c r="H34" s="266">
        <v>0.83889633778985551</v>
      </c>
      <c r="I34" s="266">
        <v>0.73886450313017193</v>
      </c>
      <c r="J34" s="266">
        <v>0.26113549686982801</v>
      </c>
      <c r="K34" s="266">
        <v>6.7270839475472036E-2</v>
      </c>
      <c r="L34" s="266">
        <v>3.5606245112993991E-2</v>
      </c>
      <c r="M34" s="266">
        <v>0.46572604621631397</v>
      </c>
      <c r="N34" s="266">
        <v>4.9561509001661085E-2</v>
      </c>
      <c r="O34" s="163">
        <v>1436.3291330138409</v>
      </c>
      <c r="P34" s="264">
        <v>1.424327462744339</v>
      </c>
      <c r="S34" s="266"/>
    </row>
    <row r="35" spans="2:19" x14ac:dyDescent="0.2">
      <c r="B35" t="s">
        <v>421</v>
      </c>
      <c r="C35" s="266">
        <v>5.9185148338292019E-2</v>
      </c>
      <c r="D35" s="266">
        <v>5.606237131154148E-2</v>
      </c>
      <c r="E35" s="266">
        <v>0.81422332622570037</v>
      </c>
      <c r="F35" s="266">
        <v>1.0866618305452361E-2</v>
      </c>
      <c r="G35" s="266">
        <v>1.6450140320796054E-3</v>
      </c>
      <c r="H35" s="266">
        <v>0.81442516102086127</v>
      </c>
      <c r="I35" s="266">
        <v>0.82097140439221816</v>
      </c>
      <c r="J35" s="266">
        <v>0.17902859560778184</v>
      </c>
      <c r="K35" s="266">
        <v>-1.5292402160134239E-2</v>
      </c>
      <c r="L35" s="266">
        <v>5.2872179845097567E-2</v>
      </c>
      <c r="M35" s="266">
        <v>0.52593361248868653</v>
      </c>
      <c r="N35" s="266">
        <v>1.3325825375790753E-3</v>
      </c>
      <c r="O35" s="163">
        <v>1911.6893105375239</v>
      </c>
      <c r="P35" s="264">
        <v>0.46680063494207841</v>
      </c>
      <c r="S35" s="266"/>
    </row>
    <row r="36" spans="2:19" x14ac:dyDescent="0.2">
      <c r="B36" t="s">
        <v>227</v>
      </c>
      <c r="C36" s="266">
        <v>9.2834156375651324E-3</v>
      </c>
      <c r="D36" s="266">
        <v>5.3520149413492986E-2</v>
      </c>
      <c r="E36" s="266">
        <v>-5.1253847914190589E-2</v>
      </c>
      <c r="F36" s="266">
        <v>0.34859703387640906</v>
      </c>
      <c r="G36" s="266">
        <v>2.5726582166348006E-2</v>
      </c>
      <c r="H36" s="266">
        <v>-2.6659013900474669E-2</v>
      </c>
      <c r="I36" s="266">
        <v>0.43717489015706279</v>
      </c>
      <c r="J36" s="266">
        <v>0.56282510984293721</v>
      </c>
      <c r="K36" s="266">
        <v>4.7636624022795893E-2</v>
      </c>
      <c r="L36" s="266">
        <v>1.8139639606386985E-2</v>
      </c>
      <c r="M36" s="266">
        <v>0.53268881603888119</v>
      </c>
      <c r="N36" s="266">
        <v>6.6627895109615662E-3</v>
      </c>
      <c r="O36" s="163">
        <v>1431.0050887386674</v>
      </c>
      <c r="P36" s="264">
        <v>3.0124308493328993</v>
      </c>
      <c r="S36" s="266"/>
    </row>
    <row r="37" spans="2:19" x14ac:dyDescent="0.2">
      <c r="B37" t="s">
        <v>422</v>
      </c>
      <c r="C37" s="266">
        <v>-5.0078956570840251E-2</v>
      </c>
      <c r="D37" s="266">
        <v>0</v>
      </c>
      <c r="E37" s="266">
        <v>0.53449649214178485</v>
      </c>
      <c r="F37" s="266">
        <v>8.071137526423823E-2</v>
      </c>
      <c r="G37" s="266">
        <v>0.14256609785239424</v>
      </c>
      <c r="H37" s="266">
        <v>0.44866257161238932</v>
      </c>
      <c r="I37" s="266">
        <v>0.539982745398773</v>
      </c>
      <c r="J37" s="266">
        <v>0.460017254601227</v>
      </c>
      <c r="K37" s="266">
        <v>-1.9974878220642749E-2</v>
      </c>
      <c r="L37" s="266">
        <v>7.1034128856346315E-2</v>
      </c>
      <c r="M37" s="266">
        <v>0.59713510908340472</v>
      </c>
      <c r="N37" s="266">
        <v>6.6244350680582185E-3</v>
      </c>
      <c r="O37" s="163">
        <v>1257.6096000793232</v>
      </c>
      <c r="P37" s="264">
        <v>1.8919310095284043</v>
      </c>
      <c r="S37" s="266"/>
    </row>
    <row r="38" spans="2:19" x14ac:dyDescent="0.2">
      <c r="B38" t="s">
        <v>423</v>
      </c>
      <c r="C38" s="266">
        <v>-3.6599569994198382E-2</v>
      </c>
      <c r="D38" s="266">
        <v>0</v>
      </c>
      <c r="E38" s="266">
        <v>-0.18937730348910378</v>
      </c>
      <c r="F38" s="266">
        <v>0.12243325499865161</v>
      </c>
      <c r="G38" s="266">
        <v>0.33907359607556087</v>
      </c>
      <c r="H38" s="266">
        <v>-0.40186462225989139</v>
      </c>
      <c r="I38" s="266">
        <v>0.12288959535788141</v>
      </c>
      <c r="J38" s="266">
        <v>0.87711040464211854</v>
      </c>
      <c r="K38" s="266">
        <v>2.3551771519564408E-2</v>
      </c>
      <c r="L38" s="266">
        <v>4.6127569955439124E-2</v>
      </c>
      <c r="M38" s="266">
        <v>0.50797528120911917</v>
      </c>
      <c r="N38" s="266">
        <v>3.4860790053809376E-2</v>
      </c>
      <c r="O38" s="163">
        <v>1320.2269799485862</v>
      </c>
      <c r="P38" s="264">
        <v>1.6954075299958626</v>
      </c>
      <c r="S38" s="266"/>
    </row>
    <row r="39" spans="2:19" x14ac:dyDescent="0.2">
      <c r="B39" t="s">
        <v>228</v>
      </c>
      <c r="C39" s="266">
        <v>1.7476335543187074E-2</v>
      </c>
      <c r="D39" s="266">
        <v>0</v>
      </c>
      <c r="E39" s="266">
        <v>1.0751799307406285</v>
      </c>
      <c r="F39" s="266">
        <v>0.153599412731596</v>
      </c>
      <c r="G39" s="266">
        <v>0.35226529211815583</v>
      </c>
      <c r="H39" s="266">
        <v>0.85759411454925549</v>
      </c>
      <c r="I39" s="266">
        <v>0.92027714175265396</v>
      </c>
      <c r="J39" s="266">
        <v>7.972285824734604E-2</v>
      </c>
      <c r="K39" s="266">
        <v>0.10613918899510077</v>
      </c>
      <c r="L39" s="266">
        <v>3.7103234763736177E-2</v>
      </c>
      <c r="M39" s="266">
        <v>0.58678254438549016</v>
      </c>
      <c r="N39" s="266">
        <v>-3.649878558157961E-2</v>
      </c>
      <c r="O39" s="163">
        <v>1342.5967891135058</v>
      </c>
      <c r="P39" s="264">
        <v>1.5339649264261237</v>
      </c>
      <c r="S39" s="266"/>
    </row>
    <row r="40" spans="2:19" x14ac:dyDescent="0.2">
      <c r="B40" t="s">
        <v>306</v>
      </c>
      <c r="C40" s="266">
        <v>7.4513085644194285E-4</v>
      </c>
      <c r="D40" s="266">
        <v>0</v>
      </c>
      <c r="E40" s="266">
        <v>0.49206390149951851</v>
      </c>
      <c r="F40" s="266">
        <v>0.1383099463475031</v>
      </c>
      <c r="G40" s="266">
        <v>3.1176915669280506E-2</v>
      </c>
      <c r="H40" s="266">
        <v>0.48777256156280097</v>
      </c>
      <c r="I40" s="266">
        <v>0.71363800298830438</v>
      </c>
      <c r="J40" s="266">
        <v>0.28636199701169562</v>
      </c>
      <c r="K40" s="266">
        <v>-1.3748452331820057E-2</v>
      </c>
      <c r="L40" s="266">
        <v>-1.390321914981428E-2</v>
      </c>
      <c r="M40" s="266">
        <v>0.61651050257965356</v>
      </c>
      <c r="N40" s="266">
        <v>-2.5633159154010484E-3</v>
      </c>
      <c r="O40" s="163">
        <v>1602.6452334381759</v>
      </c>
      <c r="P40" s="264">
        <v>3.5836680053547525</v>
      </c>
      <c r="S40" s="266"/>
    </row>
    <row r="41" spans="2:19" x14ac:dyDescent="0.2">
      <c r="B41" t="s">
        <v>350</v>
      </c>
      <c r="C41" s="266">
        <v>1.2146209254947613E-2</v>
      </c>
      <c r="D41" s="266">
        <v>1.3779801209425176E-2</v>
      </c>
      <c r="E41" s="266">
        <v>0.23237992632237436</v>
      </c>
      <c r="F41" s="266">
        <v>8.2869952040036138E-2</v>
      </c>
      <c r="G41" s="266">
        <v>8.5824007784805728E-2</v>
      </c>
      <c r="H41" s="266">
        <v>0.18482223535135886</v>
      </c>
      <c r="I41" s="266">
        <v>0.33749094596552226</v>
      </c>
      <c r="J41" s="266">
        <v>0.6625090540344778</v>
      </c>
      <c r="K41" s="266">
        <v>3.1243483700563009E-2</v>
      </c>
      <c r="L41" s="266">
        <v>2.1456001946201432E-2</v>
      </c>
      <c r="M41" s="266">
        <v>0.56645591352954805</v>
      </c>
      <c r="N41" s="266">
        <v>2.6509314656022902E-2</v>
      </c>
      <c r="O41" s="163">
        <v>1252.7327092919443</v>
      </c>
      <c r="P41" s="264">
        <v>0.7253769198252783</v>
      </c>
      <c r="S41" s="266"/>
    </row>
    <row r="42" spans="2:19" x14ac:dyDescent="0.2">
      <c r="B42" t="s">
        <v>424</v>
      </c>
      <c r="C42" s="266">
        <v>3.0043635068346765E-2</v>
      </c>
      <c r="D42" s="266">
        <v>0</v>
      </c>
      <c r="E42" s="266">
        <v>0.5463156547339677</v>
      </c>
      <c r="F42" s="266">
        <v>1.706703076332295E-2</v>
      </c>
      <c r="G42" s="266">
        <v>6.302001109357E-2</v>
      </c>
      <c r="H42" s="266">
        <v>0.5061402909928745</v>
      </c>
      <c r="I42" s="266">
        <v>0.57757276293973769</v>
      </c>
      <c r="J42" s="266">
        <v>0.42242723706026231</v>
      </c>
      <c r="K42" s="266">
        <v>0.10063148013824295</v>
      </c>
      <c r="L42" s="266">
        <v>4.8406366002474721E-2</v>
      </c>
      <c r="M42" s="266">
        <v>0.61695972667631116</v>
      </c>
      <c r="N42" s="266">
        <v>3.4449681281104871E-2</v>
      </c>
      <c r="O42" s="163">
        <v>1299.1851876775834</v>
      </c>
      <c r="P42" s="264">
        <v>1.5243431930920448</v>
      </c>
      <c r="S42" s="266"/>
    </row>
    <row r="43" spans="2:19" x14ac:dyDescent="0.2">
      <c r="B43" t="s">
        <v>307</v>
      </c>
      <c r="C43" s="266">
        <v>-9.5535864433825869E-3</v>
      </c>
      <c r="D43" s="266">
        <v>2.7202690725632344E-2</v>
      </c>
      <c r="E43" s="266">
        <v>7.501761243551576E-2</v>
      </c>
      <c r="F43" s="266">
        <v>6.6268208985750976E-2</v>
      </c>
      <c r="G43" s="266">
        <v>0.23641569892961845</v>
      </c>
      <c r="H43" s="266">
        <v>-7.5428720769038504E-2</v>
      </c>
      <c r="I43" s="266">
        <v>0.54789173560356597</v>
      </c>
      <c r="J43" s="266">
        <v>0.45210826439643403</v>
      </c>
      <c r="K43" s="266">
        <v>2.3021157648342158E-2</v>
      </c>
      <c r="L43" s="266">
        <v>-2.0566779537758788E-3</v>
      </c>
      <c r="M43" s="266">
        <v>0.21923749480088495</v>
      </c>
      <c r="N43" s="266">
        <v>2.0556884596704357E-2</v>
      </c>
      <c r="O43" s="163">
        <v>1269.6177947812439</v>
      </c>
      <c r="P43" s="264">
        <v>5.4625930278104189</v>
      </c>
      <c r="S43" s="266"/>
    </row>
    <row r="44" spans="2:19" x14ac:dyDescent="0.2">
      <c r="B44" t="s">
        <v>308</v>
      </c>
      <c r="C44" s="266">
        <v>9.8558074605502644E-2</v>
      </c>
      <c r="D44" s="266">
        <v>0</v>
      </c>
      <c r="E44" s="266">
        <v>0.59608569266913547</v>
      </c>
      <c r="F44" s="266">
        <v>0</v>
      </c>
      <c r="G44" s="266">
        <v>0</v>
      </c>
      <c r="H44" s="266">
        <v>0.59608569266913547</v>
      </c>
      <c r="I44" s="266">
        <v>0.55325949810738817</v>
      </c>
      <c r="J44" s="266">
        <v>0.44674050189261183</v>
      </c>
      <c r="K44" s="266">
        <v>9.8554533508541393E-3</v>
      </c>
      <c r="L44" s="266">
        <v>0.12113745868673595</v>
      </c>
      <c r="M44" s="266">
        <v>0.42510436850217448</v>
      </c>
      <c r="N44" s="266">
        <v>8.1623191939643111E-2</v>
      </c>
      <c r="O44" s="163">
        <v>1435.8533891176728</v>
      </c>
      <c r="P44" s="264">
        <v>1.1394903696614427</v>
      </c>
      <c r="S44" s="266"/>
    </row>
    <row r="45" spans="2:19" ht="15" x14ac:dyDescent="0.25">
      <c r="B45" t="s">
        <v>351</v>
      </c>
      <c r="C45" s="266">
        <v>7.5647144087844773E-2</v>
      </c>
      <c r="D45" s="271">
        <v>0</v>
      </c>
      <c r="E45" s="271">
        <v>1.4551288490083816</v>
      </c>
      <c r="F45" s="271">
        <v>1.9698440865615337E-2</v>
      </c>
      <c r="G45" s="271">
        <v>0.20593520161605339</v>
      </c>
      <c r="H45" s="271">
        <v>1.3195160768294998</v>
      </c>
      <c r="I45" s="271">
        <v>0.90916927293423366</v>
      </c>
      <c r="J45" s="271">
        <v>9.0830727065766351E-2</v>
      </c>
      <c r="K45" s="271">
        <v>9.0244528520887046E-2</v>
      </c>
      <c r="L45" s="271">
        <v>6.8196783518041093E-2</v>
      </c>
      <c r="M45" s="271">
        <v>0.45515295110767739</v>
      </c>
      <c r="N45" s="271">
        <v>-1.1802614759329338E-3</v>
      </c>
      <c r="O45" s="272">
        <v>1197.7673724467109</v>
      </c>
      <c r="P45" s="264">
        <v>2.4880934091258258</v>
      </c>
      <c r="S45" s="266"/>
    </row>
    <row r="46" spans="2:19" x14ac:dyDescent="0.2">
      <c r="B46" t="s">
        <v>425</v>
      </c>
      <c r="C46" s="266">
        <v>2.2723161908657471E-2</v>
      </c>
      <c r="D46" s="266">
        <v>0.12559421563536133</v>
      </c>
      <c r="E46" s="266">
        <v>0.79035672911756483</v>
      </c>
      <c r="F46" s="266">
        <v>9.6672392441976597E-3</v>
      </c>
      <c r="G46" s="266">
        <v>0.38293452642511883</v>
      </c>
      <c r="H46" s="266">
        <v>0.53495066512203893</v>
      </c>
      <c r="I46" s="266">
        <v>0.69950724204867853</v>
      </c>
      <c r="J46" s="266">
        <v>0.30049275795132147</v>
      </c>
      <c r="K46" s="266">
        <v>1.8136060400271641E-2</v>
      </c>
      <c r="L46" s="266">
        <v>1.967403028003036E-3</v>
      </c>
      <c r="M46" s="266">
        <v>0.54018436523540614</v>
      </c>
      <c r="N46" s="266">
        <v>-1.7548731845098184E-2</v>
      </c>
      <c r="O46" s="163">
        <v>1385.6692000384135</v>
      </c>
      <c r="P46" s="264">
        <v>0.39225181598062953</v>
      </c>
      <c r="S46" s="266"/>
    </row>
    <row r="47" spans="2:19" x14ac:dyDescent="0.2">
      <c r="B47" t="s">
        <v>145</v>
      </c>
      <c r="C47" s="266">
        <v>-1.4334630259386886E-2</v>
      </c>
      <c r="D47" s="266">
        <v>0.16328016225738751</v>
      </c>
      <c r="E47" s="266">
        <v>0.44344886744407408</v>
      </c>
      <c r="F47" s="266">
        <v>4.1629712594379663E-2</v>
      </c>
      <c r="G47" s="266">
        <v>6.3975181770261597E-2</v>
      </c>
      <c r="H47" s="266">
        <v>0.40558106116932435</v>
      </c>
      <c r="I47" s="266">
        <v>0.62429131526246018</v>
      </c>
      <c r="J47" s="266">
        <v>0.37570868473753982</v>
      </c>
      <c r="K47" s="266">
        <v>5.328337018536476E-3</v>
      </c>
      <c r="L47" s="266">
        <v>6.9801862680451869E-3</v>
      </c>
      <c r="M47" s="266">
        <v>0.69731648146354541</v>
      </c>
      <c r="N47" s="266">
        <v>-2.1950521979612125E-2</v>
      </c>
      <c r="O47" s="163">
        <v>1553.1908712285544</v>
      </c>
      <c r="P47" s="264">
        <v>0.56617283950617281</v>
      </c>
      <c r="S47" s="266"/>
    </row>
    <row r="48" spans="2:19" ht="15" x14ac:dyDescent="0.25">
      <c r="B48" t="s">
        <v>200</v>
      </c>
      <c r="C48" s="266">
        <v>4.2907068256434901E-2</v>
      </c>
      <c r="D48" s="271">
        <v>0.35298159755974928</v>
      </c>
      <c r="E48" s="271">
        <v>1.4260047598297187</v>
      </c>
      <c r="F48" s="271">
        <v>6.4525860624141049E-2</v>
      </c>
      <c r="G48" s="271">
        <v>1.3536352361478898</v>
      </c>
      <c r="H48" s="271">
        <v>0.52681225488552941</v>
      </c>
      <c r="I48" s="271">
        <v>0.66489299037895155</v>
      </c>
      <c r="J48" s="271">
        <v>0.3351070096210485</v>
      </c>
      <c r="K48" s="271">
        <v>7.277176281299233E-2</v>
      </c>
      <c r="L48" s="271">
        <v>6.7668353836355707E-2</v>
      </c>
      <c r="M48" s="271">
        <v>0.55342482844145158</v>
      </c>
      <c r="N48" s="271">
        <v>-1.3723147619096472E-2</v>
      </c>
      <c r="O48" s="272">
        <v>1525.7137699596421</v>
      </c>
      <c r="P48" s="264">
        <v>0.42042779309880945</v>
      </c>
      <c r="S48" s="266"/>
    </row>
    <row r="49" spans="2:19" x14ac:dyDescent="0.2">
      <c r="B49" t="s">
        <v>403</v>
      </c>
      <c r="C49" s="266">
        <v>-2.7924662916771349E-2</v>
      </c>
      <c r="D49" s="266">
        <v>7.1209992494081871E-4</v>
      </c>
      <c r="E49" s="266">
        <v>0.11168421255220462</v>
      </c>
      <c r="F49" s="266">
        <v>0.1205758386420062</v>
      </c>
      <c r="G49" s="266">
        <v>4.1763698300583156E-3</v>
      </c>
      <c r="H49" s="266">
        <v>0.12335514540310628</v>
      </c>
      <c r="I49" s="266">
        <v>0.43038598294992075</v>
      </c>
      <c r="J49" s="266">
        <v>0.5696140170500793</v>
      </c>
      <c r="K49" s="266">
        <v>8.8531342019669351E-4</v>
      </c>
      <c r="L49" s="266">
        <v>-2.2046228757289402E-2</v>
      </c>
      <c r="M49" s="266">
        <v>0.57990476022959836</v>
      </c>
      <c r="N49" s="266">
        <v>-3.409823320938743E-2</v>
      </c>
      <c r="O49" s="163">
        <v>1420.0200317404338</v>
      </c>
      <c r="P49" s="264">
        <v>1.0633728788106322</v>
      </c>
      <c r="S49" s="266"/>
    </row>
    <row r="50" spans="2:19" x14ac:dyDescent="0.2">
      <c r="B50" t="s">
        <v>426</v>
      </c>
      <c r="C50" s="266">
        <v>3.2328485905337899E-2</v>
      </c>
      <c r="D50" s="266">
        <v>7.6181505900603907E-2</v>
      </c>
      <c r="E50" s="266">
        <v>1.2273948695218571</v>
      </c>
      <c r="F50" s="266">
        <v>4.9240955177572161E-2</v>
      </c>
      <c r="G50" s="266">
        <v>0.61945260125214696</v>
      </c>
      <c r="H50" s="266">
        <v>0.81827054130422727</v>
      </c>
      <c r="I50" s="266">
        <v>0.71051328928870794</v>
      </c>
      <c r="J50" s="266">
        <v>0.28948671071129212</v>
      </c>
      <c r="K50" s="266">
        <v>1.4322123109313535E-2</v>
      </c>
      <c r="L50" s="266">
        <v>1.0786608676380963E-2</v>
      </c>
      <c r="M50" s="266">
        <v>0.61045521269430725</v>
      </c>
      <c r="N50" s="266">
        <v>9.1577573269526723E-3</v>
      </c>
      <c r="O50" s="163">
        <v>1347.1071154984504</v>
      </c>
      <c r="P50" s="264">
        <v>0.63152205546085727</v>
      </c>
      <c r="S50" s="266"/>
    </row>
    <row r="51" spans="2:19" x14ac:dyDescent="0.2">
      <c r="B51" t="s">
        <v>427</v>
      </c>
      <c r="C51" s="266">
        <v>-3.9742667020215413E-3</v>
      </c>
      <c r="D51" s="266">
        <v>0</v>
      </c>
      <c r="E51" s="266">
        <v>0.4309943870158649</v>
      </c>
      <c r="F51" s="266">
        <v>0.11677685648537094</v>
      </c>
      <c r="G51" s="266">
        <v>0.10154509259597472</v>
      </c>
      <c r="H51" s="266">
        <v>0.37697239775480634</v>
      </c>
      <c r="I51" s="266">
        <v>0.58799163434790558</v>
      </c>
      <c r="J51" s="266">
        <v>0.41200836565209448</v>
      </c>
      <c r="K51" s="266">
        <v>3.2241175682750728E-2</v>
      </c>
      <c r="L51" s="266">
        <v>-1.7943894509990139E-2</v>
      </c>
      <c r="M51" s="266">
        <v>0.67041426557694417</v>
      </c>
      <c r="N51" s="266">
        <v>1.3383516574887052E-3</v>
      </c>
      <c r="O51" s="163">
        <v>1570.9425407590975</v>
      </c>
      <c r="P51" s="264">
        <v>0.7193656093489148</v>
      </c>
      <c r="S51" s="266"/>
    </row>
    <row r="52" spans="2:19" x14ac:dyDescent="0.2">
      <c r="B52" t="s">
        <v>428</v>
      </c>
      <c r="C52" s="266">
        <v>-5.6707939855290424E-3</v>
      </c>
      <c r="D52" s="266">
        <v>9.0418910813800338E-2</v>
      </c>
      <c r="E52" s="266">
        <v>0.39661351039365378</v>
      </c>
      <c r="F52" s="266">
        <v>0.25664654343573778</v>
      </c>
      <c r="G52" s="266">
        <v>1.2268339215585809E-2</v>
      </c>
      <c r="H52" s="266">
        <v>0.41919130833149981</v>
      </c>
      <c r="I52" s="266">
        <v>0.69865010626141377</v>
      </c>
      <c r="J52" s="266">
        <v>0.30134989373858623</v>
      </c>
      <c r="K52" s="266">
        <v>2.88014370578892E-2</v>
      </c>
      <c r="L52" s="266">
        <v>8.9929141713558924E-3</v>
      </c>
      <c r="M52" s="266">
        <v>0.57333271570877009</v>
      </c>
      <c r="N52" s="266">
        <v>1.7131006876398618E-2</v>
      </c>
      <c r="O52" s="163">
        <v>1910.1449848722759</v>
      </c>
      <c r="P52" s="264">
        <v>0.53239512705261482</v>
      </c>
      <c r="S52" s="266"/>
    </row>
    <row r="53" spans="2:19" x14ac:dyDescent="0.2">
      <c r="B53" t="s">
        <v>352</v>
      </c>
      <c r="C53" s="266">
        <v>6.090325350820696E-2</v>
      </c>
      <c r="D53" s="266">
        <v>0</v>
      </c>
      <c r="E53" s="266">
        <v>-0.28863413530432158</v>
      </c>
      <c r="F53" s="266">
        <v>1.6969605550946527E-4</v>
      </c>
      <c r="G53" s="266">
        <v>0.24749226940191568</v>
      </c>
      <c r="H53" s="266">
        <v>-0.45443359227694397</v>
      </c>
      <c r="I53" s="266">
        <v>9.4395504778249109E-2</v>
      </c>
      <c r="J53" s="266">
        <v>0.9056044952217509</v>
      </c>
      <c r="K53" s="266">
        <v>-8.6544988309827289E-3</v>
      </c>
      <c r="L53" s="266">
        <v>2.532713628478769E-2</v>
      </c>
      <c r="M53" s="266">
        <v>0.39841780518902853</v>
      </c>
      <c r="N53" s="266">
        <v>3.7261970672801861E-2</v>
      </c>
      <c r="O53" s="163">
        <v>1799.1833153174557</v>
      </c>
      <c r="P53" s="264">
        <v>5.1494661921708182</v>
      </c>
      <c r="S53" s="266"/>
    </row>
    <row r="54" spans="2:19" x14ac:dyDescent="0.2">
      <c r="B54" t="s">
        <v>229</v>
      </c>
      <c r="C54" s="266">
        <v>-6.7904319403549532E-3</v>
      </c>
      <c r="D54" s="266">
        <v>0</v>
      </c>
      <c r="E54" s="266">
        <v>-6.477485492716481E-2</v>
      </c>
      <c r="F54" s="266">
        <v>4.893303411369461E-2</v>
      </c>
      <c r="G54" s="266">
        <v>3.8880847729958701E-2</v>
      </c>
      <c r="H54" s="266">
        <v>-8.4953058812593796E-2</v>
      </c>
      <c r="I54" s="266">
        <v>0.29126260761412442</v>
      </c>
      <c r="J54" s="266">
        <v>0.70873739238587563</v>
      </c>
      <c r="K54" s="266">
        <v>-8.16657150065731E-3</v>
      </c>
      <c r="L54" s="266">
        <v>-2.0383231306518651E-3</v>
      </c>
      <c r="M54" s="266">
        <v>0.6755343721096484</v>
      </c>
      <c r="N54" s="266">
        <v>1.6327452469893346E-2</v>
      </c>
      <c r="O54" s="163">
        <v>1297.1017941677192</v>
      </c>
      <c r="P54" s="264">
        <v>2.9109928084430745</v>
      </c>
      <c r="S54" s="266"/>
    </row>
    <row r="55" spans="2:19" x14ac:dyDescent="0.2">
      <c r="B55" t="s">
        <v>230</v>
      </c>
      <c r="C55" s="266">
        <v>5.5715346958989692E-2</v>
      </c>
      <c r="D55" s="266">
        <v>0.36074170822449142</v>
      </c>
      <c r="E55" s="266">
        <v>0.9553748120003166</v>
      </c>
      <c r="F55" s="266">
        <v>3.395867964853954E-2</v>
      </c>
      <c r="G55" s="266">
        <v>0.30626137892820393</v>
      </c>
      <c r="H55" s="266">
        <v>0.75425472967624474</v>
      </c>
      <c r="I55" s="266">
        <v>0.79652220139335772</v>
      </c>
      <c r="J55" s="266">
        <v>0.20347779860664222</v>
      </c>
      <c r="K55" s="266">
        <v>3.9954880075991454E-2</v>
      </c>
      <c r="L55" s="266">
        <v>3.7688989155386689E-2</v>
      </c>
      <c r="M55" s="266">
        <v>0.62841812322545865</v>
      </c>
      <c r="N55" s="266">
        <v>2.2999920014203451E-2</v>
      </c>
      <c r="O55" s="163">
        <v>1682.486254318618</v>
      </c>
      <c r="P55" s="264">
        <v>0.27319222598158788</v>
      </c>
      <c r="S55" s="266"/>
    </row>
    <row r="56" spans="2:19" ht="15" x14ac:dyDescent="0.25">
      <c r="B56" t="s">
        <v>481</v>
      </c>
      <c r="C56" s="266">
        <v>-5.1837993170290707E-3</v>
      </c>
      <c r="D56" s="271">
        <v>0</v>
      </c>
      <c r="E56" s="271">
        <v>-2.0210517882001823E-2</v>
      </c>
      <c r="F56" s="271">
        <v>3.4061432763472843E-2</v>
      </c>
      <c r="G56" s="271">
        <v>8.7552203827779951E-2</v>
      </c>
      <c r="H56" s="271">
        <v>-7.4783122514997649E-2</v>
      </c>
      <c r="I56" s="271">
        <v>0.24927389963554808</v>
      </c>
      <c r="J56" s="271">
        <v>0.75072610036445186</v>
      </c>
      <c r="K56" s="271">
        <v>-9.9049564842912802E-3</v>
      </c>
      <c r="L56" s="271">
        <v>2.9234143556770724E-2</v>
      </c>
      <c r="M56" s="271">
        <v>0.70250055026397185</v>
      </c>
      <c r="N56" s="271">
        <v>-7.4617006068575832E-3</v>
      </c>
      <c r="O56" s="272">
        <v>2061.1916512177067</v>
      </c>
      <c r="P56" s="264">
        <v>1.0831918505942275</v>
      </c>
      <c r="S56" s="266"/>
    </row>
    <row r="57" spans="2:19" x14ac:dyDescent="0.2">
      <c r="B57" t="s">
        <v>278</v>
      </c>
      <c r="C57" s="266">
        <v>1.2149931536709218E-2</v>
      </c>
      <c r="D57" s="266">
        <v>0</v>
      </c>
      <c r="E57" s="266">
        <v>0.1898090970041286</v>
      </c>
      <c r="F57" s="266">
        <v>0</v>
      </c>
      <c r="G57" s="266">
        <v>0.1513814884082007</v>
      </c>
      <c r="H57" s="266">
        <v>8.8383499770634116E-2</v>
      </c>
      <c r="I57" s="266">
        <v>0.24096756956718321</v>
      </c>
      <c r="J57" s="266">
        <v>0.75903243043281676</v>
      </c>
      <c r="K57" s="266">
        <v>-5.6882741098839056E-2</v>
      </c>
      <c r="L57" s="266">
        <v>4.3200183492713221E-2</v>
      </c>
      <c r="M57" s="266">
        <v>0.55367511610196363</v>
      </c>
      <c r="N57" s="266">
        <v>-2.241031160660497E-2</v>
      </c>
      <c r="O57" s="163">
        <v>1443.4406373713382</v>
      </c>
      <c r="P57" s="264">
        <v>1.9091456077015643</v>
      </c>
      <c r="S57" s="266"/>
    </row>
    <row r="58" spans="2:19" x14ac:dyDescent="0.2">
      <c r="B58" t="s">
        <v>279</v>
      </c>
      <c r="C58" s="266">
        <v>1.9514014879457552E-2</v>
      </c>
      <c r="D58" s="266">
        <v>0</v>
      </c>
      <c r="E58" s="266">
        <v>0.77292055047024566</v>
      </c>
      <c r="F58" s="266">
        <v>7.3228461909050926E-2</v>
      </c>
      <c r="G58" s="266">
        <v>0.56819086319934642</v>
      </c>
      <c r="H58" s="266">
        <v>0.40102008755576968</v>
      </c>
      <c r="I58" s="266">
        <v>0.80322585088359666</v>
      </c>
      <c r="J58" s="266">
        <v>0.19677414911640337</v>
      </c>
      <c r="K58" s="266">
        <v>1.9480111434615949E-2</v>
      </c>
      <c r="L58" s="266">
        <v>1.651620200666094E-2</v>
      </c>
      <c r="M58" s="266">
        <v>0.46439634599894564</v>
      </c>
      <c r="N58" s="266">
        <v>2.4568879495167669E-2</v>
      </c>
      <c r="O58" s="163">
        <v>1257.5395785367709</v>
      </c>
      <c r="P58" s="264">
        <v>2.7837501941898402</v>
      </c>
      <c r="S58" s="266"/>
    </row>
    <row r="59" spans="2:19" x14ac:dyDescent="0.2">
      <c r="B59" t="s">
        <v>231</v>
      </c>
      <c r="C59" s="266">
        <v>-2.1022971765251069E-2</v>
      </c>
      <c r="D59" s="266">
        <v>8.4876834282696448E-2</v>
      </c>
      <c r="E59" s="266">
        <v>0.22841299181410088</v>
      </c>
      <c r="F59" s="266">
        <v>1.3052170960805765E-2</v>
      </c>
      <c r="G59" s="266">
        <v>0.39565807838847183</v>
      </c>
      <c r="H59" s="266">
        <v>-3.5111660190878607E-2</v>
      </c>
      <c r="I59" s="266">
        <v>0.39290621342425319</v>
      </c>
      <c r="J59" s="266">
        <v>0.60709378657574675</v>
      </c>
      <c r="K59" s="266">
        <v>2.1766192613829265E-2</v>
      </c>
      <c r="L59" s="266">
        <v>-2.1605869704628616E-2</v>
      </c>
      <c r="M59" s="266">
        <v>0.59764086887503376</v>
      </c>
      <c r="N59" s="266">
        <v>7.6183852580372835E-3</v>
      </c>
      <c r="O59" s="163">
        <v>1381.7141149233339</v>
      </c>
      <c r="P59" s="264">
        <v>1.0313135420902806</v>
      </c>
      <c r="S59" s="266"/>
    </row>
    <row r="60" spans="2:19" x14ac:dyDescent="0.2">
      <c r="B60" t="s">
        <v>353</v>
      </c>
      <c r="C60" s="266">
        <v>4.1033219955880593E-2</v>
      </c>
      <c r="D60" s="266">
        <v>7.9799119017726045E-2</v>
      </c>
      <c r="E60" s="266">
        <v>0.21905390164492583</v>
      </c>
      <c r="F60" s="266">
        <v>6.711637903517545E-2</v>
      </c>
      <c r="G60" s="266">
        <v>1.6401378928776626E-2</v>
      </c>
      <c r="H60" s="266">
        <v>0.21611894324686654</v>
      </c>
      <c r="I60" s="266">
        <v>0.42481593253713457</v>
      </c>
      <c r="J60" s="266">
        <v>0.57518406746286543</v>
      </c>
      <c r="K60" s="266">
        <v>4.6969761453833553E-2</v>
      </c>
      <c r="L60" s="266">
        <v>4.0266635456344561E-2</v>
      </c>
      <c r="M60" s="266">
        <v>0.73151981176387892</v>
      </c>
      <c r="N60" s="266">
        <v>3.9420706227219051E-3</v>
      </c>
      <c r="O60" s="163">
        <v>1754.6827637896004</v>
      </c>
      <c r="P60" s="264">
        <v>0.85811490246028022</v>
      </c>
      <c r="S60" s="266"/>
    </row>
    <row r="61" spans="2:19" x14ac:dyDescent="0.2">
      <c r="B61" t="s">
        <v>309</v>
      </c>
      <c r="C61" s="266">
        <v>-3.0243290397916591E-2</v>
      </c>
      <c r="D61" s="266">
        <v>2.496724974955691E-2</v>
      </c>
      <c r="E61" s="266">
        <v>0.62492101410187251</v>
      </c>
      <c r="F61" s="266">
        <v>0.1156970023888418</v>
      </c>
      <c r="G61" s="266">
        <v>0.10606457578793249</v>
      </c>
      <c r="H61" s="266">
        <v>0.56774138861061874</v>
      </c>
      <c r="I61" s="266">
        <v>0.65281400790407629</v>
      </c>
      <c r="J61" s="266">
        <v>0.34718599209592371</v>
      </c>
      <c r="K61" s="266">
        <v>1.3115512059798105E-2</v>
      </c>
      <c r="L61" s="266">
        <v>-2.3133235724743777E-2</v>
      </c>
      <c r="M61" s="266">
        <v>0.61504643128227265</v>
      </c>
      <c r="N61" s="266">
        <v>3.898517898249694E-2</v>
      </c>
      <c r="O61" s="163">
        <v>1198.7472233891569</v>
      </c>
      <c r="P61" s="264">
        <v>0.8995614035087719</v>
      </c>
      <c r="S61" s="266"/>
    </row>
    <row r="62" spans="2:19" x14ac:dyDescent="0.2">
      <c r="B62" t="s">
        <v>146</v>
      </c>
      <c r="C62" s="266">
        <v>1.6960546296923212E-2</v>
      </c>
      <c r="D62" s="266">
        <v>4.8851700527975224E-2</v>
      </c>
      <c r="E62" s="266">
        <v>0.78573160948489762</v>
      </c>
      <c r="F62" s="266">
        <v>7.7573179604858114E-2</v>
      </c>
      <c r="G62" s="266">
        <v>0.20075185164455886</v>
      </c>
      <c r="H62" s="266">
        <v>0.66053665043562615</v>
      </c>
      <c r="I62" s="266">
        <v>0.73434888149192556</v>
      </c>
      <c r="J62" s="266">
        <v>0.26565111850807449</v>
      </c>
      <c r="K62" s="266">
        <v>9.6966474506072653E-2</v>
      </c>
      <c r="L62" s="266">
        <v>2.2233726982705548E-2</v>
      </c>
      <c r="M62" s="266">
        <v>0.6141628342325306</v>
      </c>
      <c r="N62" s="266">
        <v>-1.5274543506885162E-2</v>
      </c>
      <c r="O62" s="163">
        <v>1601.4941890665759</v>
      </c>
      <c r="P62" s="264">
        <v>0.53406870469587142</v>
      </c>
      <c r="S62" s="266"/>
    </row>
    <row r="63" spans="2:19" x14ac:dyDescent="0.2">
      <c r="B63" t="s">
        <v>429</v>
      </c>
      <c r="C63" s="266">
        <v>6.5251144314721829E-2</v>
      </c>
      <c r="D63" s="266">
        <v>8.6252637296066512E-2</v>
      </c>
      <c r="E63" s="266">
        <v>0.45037705500198449</v>
      </c>
      <c r="F63" s="266">
        <v>1.324392638549435E-2</v>
      </c>
      <c r="G63" s="266">
        <v>8.510371623738798E-2</v>
      </c>
      <c r="H63" s="266">
        <v>0.39494683628919391</v>
      </c>
      <c r="I63" s="266">
        <v>0.52461309307563753</v>
      </c>
      <c r="J63" s="266">
        <v>0.47538690692436242</v>
      </c>
      <c r="K63" s="266">
        <v>-1.4455515865555347E-2</v>
      </c>
      <c r="L63" s="266">
        <v>7.7029934615947024E-2</v>
      </c>
      <c r="M63" s="266">
        <v>0.60150033812293902</v>
      </c>
      <c r="N63" s="266">
        <v>6.5301342011958943E-4</v>
      </c>
      <c r="O63" s="163">
        <v>1873.5597234844822</v>
      </c>
      <c r="P63" s="264">
        <v>0.59668064602480597</v>
      </c>
      <c r="S63" s="266"/>
    </row>
    <row r="64" spans="2:19" x14ac:dyDescent="0.2">
      <c r="B64" t="s">
        <v>354</v>
      </c>
      <c r="C64" s="266">
        <v>-6.5346468368107638E-3</v>
      </c>
      <c r="D64" s="266">
        <v>0</v>
      </c>
      <c r="E64" s="266">
        <v>2.4600867770335735E-2</v>
      </c>
      <c r="F64" s="266">
        <v>5.0549728295210417E-4</v>
      </c>
      <c r="G64" s="266">
        <v>7.3297106028055101E-3</v>
      </c>
      <c r="H64" s="266">
        <v>1.9750621340410293E-2</v>
      </c>
      <c r="I64" s="266">
        <v>0.2665899331533047</v>
      </c>
      <c r="J64" s="266">
        <v>0.7334100668466953</v>
      </c>
      <c r="K64" s="266">
        <v>5.3961834955137115E-2</v>
      </c>
      <c r="L64" s="266">
        <v>-7.6877711782299171E-4</v>
      </c>
      <c r="M64" s="266">
        <v>0.62736759304123824</v>
      </c>
      <c r="N64" s="266">
        <v>7.5345593525491389E-3</v>
      </c>
      <c r="O64" s="163">
        <v>1347.9749831991874</v>
      </c>
      <c r="P64" s="264">
        <v>1.7433155080213905</v>
      </c>
      <c r="S64" s="266"/>
    </row>
    <row r="65" spans="2:19" x14ac:dyDescent="0.2">
      <c r="B65" t="s">
        <v>430</v>
      </c>
      <c r="C65" s="266">
        <v>6.9559416842139107E-2</v>
      </c>
      <c r="D65" s="266">
        <v>0.4477004477004477</v>
      </c>
      <c r="E65" s="266">
        <v>0.92854700854700856</v>
      </c>
      <c r="F65" s="266">
        <v>3.3439153439153442E-2</v>
      </c>
      <c r="G65" s="266">
        <v>0.22878306878306878</v>
      </c>
      <c r="H65" s="266">
        <v>0.77927505087505089</v>
      </c>
      <c r="I65" s="266">
        <v>0.71013529741413817</v>
      </c>
      <c r="J65" s="266">
        <v>0.28986470258586183</v>
      </c>
      <c r="K65" s="266">
        <v>-5.6052096052096052E-2</v>
      </c>
      <c r="L65" s="266">
        <v>7.0211640211640211E-2</v>
      </c>
      <c r="M65" s="266">
        <v>0.70593204575210244</v>
      </c>
      <c r="N65" s="266">
        <v>9.0718674575554943E-3</v>
      </c>
      <c r="O65" s="163">
        <v>1516.238438246367</v>
      </c>
      <c r="P65" s="264">
        <v>0.65608288022196859</v>
      </c>
      <c r="S65" s="266"/>
    </row>
    <row r="66" spans="2:19" x14ac:dyDescent="0.2">
      <c r="B66" t="s">
        <v>232</v>
      </c>
      <c r="C66" s="266">
        <v>-6.1429782620781678E-2</v>
      </c>
      <c r="D66" s="266">
        <v>0.64142126253877452</v>
      </c>
      <c r="E66" s="266">
        <v>0.68260618512401139</v>
      </c>
      <c r="F66" s="266">
        <v>0.57215754206448322</v>
      </c>
      <c r="G66" s="266">
        <v>5.3458486081456716E-2</v>
      </c>
      <c r="H66" s="266">
        <v>0.71544790449717333</v>
      </c>
      <c r="I66" s="266">
        <v>0.72088744229300206</v>
      </c>
      <c r="J66" s="266">
        <v>0.27911255770699789</v>
      </c>
      <c r="K66" s="266">
        <v>4.2312908727121352E-2</v>
      </c>
      <c r="L66" s="266">
        <v>-5.1887362526688956E-2</v>
      </c>
      <c r="M66" s="266">
        <v>0.64889161836918807</v>
      </c>
      <c r="N66" s="266">
        <v>-1.6644190333740185E-3</v>
      </c>
      <c r="O66" s="163">
        <v>1544.0267511214786</v>
      </c>
      <c r="P66" s="264">
        <v>0.23172310060165105</v>
      </c>
      <c r="S66" s="266"/>
    </row>
    <row r="67" spans="2:19" x14ac:dyDescent="0.2">
      <c r="B67" t="s">
        <v>201</v>
      </c>
      <c r="C67" s="266">
        <v>-1.0708326380777573E-2</v>
      </c>
      <c r="D67" s="266">
        <v>0.13879009732655576</v>
      </c>
      <c r="E67" s="266">
        <v>9.2486251105983588E-2</v>
      </c>
      <c r="F67" s="266">
        <v>0.1402647421106504</v>
      </c>
      <c r="G67" s="266">
        <v>0.41708159122846583</v>
      </c>
      <c r="H67" s="266">
        <v>-0.1701266459638105</v>
      </c>
      <c r="I67" s="266">
        <v>0.27660203661797983</v>
      </c>
      <c r="J67" s="266">
        <v>0.72339796338202011</v>
      </c>
      <c r="K67" s="266">
        <v>-2.7653926892316234E-2</v>
      </c>
      <c r="L67" s="266">
        <v>1.3007234433823147E-2</v>
      </c>
      <c r="M67" s="266">
        <v>0.61132462294547407</v>
      </c>
      <c r="N67" s="266">
        <v>2.8924683707502358E-2</v>
      </c>
      <c r="O67" s="163">
        <v>1305.2538646241537</v>
      </c>
      <c r="P67" s="264">
        <v>0.55729919471402023</v>
      </c>
      <c r="S67" s="266"/>
    </row>
    <row r="68" spans="2:19" x14ac:dyDescent="0.2">
      <c r="B68" t="s">
        <v>181</v>
      </c>
      <c r="C68" s="266">
        <v>1.1856428346333256E-2</v>
      </c>
      <c r="D68" s="266">
        <v>0</v>
      </c>
      <c r="E68" s="266">
        <v>0.23560083907701529</v>
      </c>
      <c r="F68" s="266">
        <v>9.5295175307162118E-3</v>
      </c>
      <c r="G68" s="266">
        <v>4.3643991609229847E-2</v>
      </c>
      <c r="H68" s="266">
        <v>0.20750290680251723</v>
      </c>
      <c r="I68" s="266">
        <v>0.59802266698818418</v>
      </c>
      <c r="J68" s="266">
        <v>0.40197733301181576</v>
      </c>
      <c r="K68" s="266">
        <v>1.8231944860653281E-2</v>
      </c>
      <c r="L68" s="266">
        <v>9.2747977225052444E-3</v>
      </c>
      <c r="M68" s="266">
        <v>0.46179232900477946</v>
      </c>
      <c r="N68" s="266">
        <v>1.2758784627186668E-3</v>
      </c>
      <c r="O68" s="163">
        <v>2170.57142268912</v>
      </c>
      <c r="P68" s="264">
        <v>1.6579743888242142</v>
      </c>
      <c r="S68" s="266"/>
    </row>
    <row r="69" spans="2:19" x14ac:dyDescent="0.2">
      <c r="B69" t="s">
        <v>280</v>
      </c>
      <c r="C69" s="266">
        <v>-5.3168403328359695E-3</v>
      </c>
      <c r="D69" s="266">
        <v>8.8705832788230202E-2</v>
      </c>
      <c r="E69" s="266">
        <v>0.89983037129838017</v>
      </c>
      <c r="F69" s="266">
        <v>2.9269266161845737E-3</v>
      </c>
      <c r="G69" s="266">
        <v>8.1676774172089975E-2</v>
      </c>
      <c r="H69" s="266">
        <v>0.8454581637970221</v>
      </c>
      <c r="I69" s="266">
        <v>0.81441414257949429</v>
      </c>
      <c r="J69" s="266">
        <v>0.18558585742050568</v>
      </c>
      <c r="K69" s="266">
        <v>1.0720977416100314E-2</v>
      </c>
      <c r="L69" s="266">
        <v>8.4509462620707999E-3</v>
      </c>
      <c r="M69" s="266">
        <v>0.58387045988218178</v>
      </c>
      <c r="N69" s="266">
        <v>2.5795620936135692E-2</v>
      </c>
      <c r="O69" s="163">
        <v>1304.4100507495498</v>
      </c>
      <c r="P69" s="264">
        <v>0.54768334657135298</v>
      </c>
      <c r="S69" s="266"/>
    </row>
    <row r="70" spans="2:19" x14ac:dyDescent="0.2">
      <c r="B70" t="s">
        <v>641</v>
      </c>
      <c r="C70" s="266">
        <v>1.1966719167294391E-2</v>
      </c>
      <c r="D70" s="266">
        <v>3.7571385632702133E-2</v>
      </c>
      <c r="E70" s="266">
        <v>0.34922602945596631</v>
      </c>
      <c r="F70" s="266">
        <v>0.11208295761947701</v>
      </c>
      <c r="G70" s="266">
        <v>4.9556657649534118E-2</v>
      </c>
      <c r="H70" s="266">
        <v>0.32947302374511572</v>
      </c>
      <c r="I70" s="266">
        <v>0.54981417720530323</v>
      </c>
      <c r="J70" s="266">
        <v>0.45018582279469671</v>
      </c>
      <c r="K70" s="266">
        <v>2.2685602645025549E-2</v>
      </c>
      <c r="L70" s="266">
        <v>-0.10401136553500433</v>
      </c>
      <c r="M70" s="266">
        <v>0.61834766565644028</v>
      </c>
      <c r="N70" s="266">
        <v>3.1084420435102244E-3</v>
      </c>
      <c r="O70" s="163">
        <v>3039.3319376223617</v>
      </c>
      <c r="P70" s="264">
        <v>1.137485719962251</v>
      </c>
      <c r="S70" s="266"/>
    </row>
    <row r="71" spans="2:19" x14ac:dyDescent="0.2">
      <c r="B71" t="s">
        <v>159</v>
      </c>
      <c r="C71" s="266">
        <v>-3.9379696341878226E-2</v>
      </c>
      <c r="D71" s="266">
        <v>0</v>
      </c>
      <c r="E71" s="266">
        <v>0.56549245574432694</v>
      </c>
      <c r="F71" s="266">
        <v>8.150172270405133E-2</v>
      </c>
      <c r="G71" s="266">
        <v>4.5146726862302479E-3</v>
      </c>
      <c r="H71" s="266">
        <v>0.57224783176903893</v>
      </c>
      <c r="I71" s="266">
        <v>0.74272529469430693</v>
      </c>
      <c r="J71" s="266">
        <v>0.25727470530569302</v>
      </c>
      <c r="K71" s="266">
        <v>7.4195081382915529E-2</v>
      </c>
      <c r="L71" s="266">
        <v>-6.9747237733159079E-2</v>
      </c>
      <c r="M71" s="266">
        <v>0.65062947387261205</v>
      </c>
      <c r="N71" s="266">
        <v>-3.4727014934581892E-2</v>
      </c>
      <c r="O71" s="163">
        <v>1943.5147158583754</v>
      </c>
      <c r="P71" s="264">
        <v>1.1818644931227713</v>
      </c>
      <c r="S71" s="266"/>
    </row>
    <row r="72" spans="2:19" x14ac:dyDescent="0.2">
      <c r="B72" t="s">
        <v>281</v>
      </c>
      <c r="C72" s="266">
        <v>-7.4559107854342693E-3</v>
      </c>
      <c r="D72" s="266">
        <v>0</v>
      </c>
      <c r="E72" s="266">
        <v>0.62759319449460294</v>
      </c>
      <c r="F72" s="266">
        <v>1.9591910436980858E-2</v>
      </c>
      <c r="G72" s="266">
        <v>0.21783836924681996</v>
      </c>
      <c r="H72" s="266">
        <v>0.48399251635167123</v>
      </c>
      <c r="I72" s="266">
        <v>0.69306146936530821</v>
      </c>
      <c r="J72" s="266">
        <v>0.30693853063469184</v>
      </c>
      <c r="K72" s="266">
        <v>1.6191164078488023E-2</v>
      </c>
      <c r="L72" s="266">
        <v>2.2069740379599534E-4</v>
      </c>
      <c r="M72" s="266">
        <v>0.50226916855294468</v>
      </c>
      <c r="N72" s="266">
        <v>5.4552589872856425E-2</v>
      </c>
      <c r="O72" s="163">
        <v>1193.5870539535538</v>
      </c>
      <c r="P72" s="264">
        <v>1.0966737188528444</v>
      </c>
      <c r="S72" s="266"/>
    </row>
    <row r="73" spans="2:19" x14ac:dyDescent="0.2">
      <c r="B73" t="s">
        <v>154</v>
      </c>
      <c r="C73" s="266">
        <v>1.2793336119902072E-2</v>
      </c>
      <c r="D73" s="266">
        <v>0.19723504121800181</v>
      </c>
      <c r="E73" s="266">
        <v>1.3134540291089812E-2</v>
      </c>
      <c r="F73" s="266">
        <v>0.138957914250779</v>
      </c>
      <c r="G73" s="266">
        <v>1.4298110677237408E-2</v>
      </c>
      <c r="H73" s="266">
        <v>2.0229755847434229E-2</v>
      </c>
      <c r="I73" s="266">
        <v>0.34448787869234893</v>
      </c>
      <c r="J73" s="266">
        <v>0.65551212130765113</v>
      </c>
      <c r="K73" s="266">
        <v>-1.9918747288289355E-2</v>
      </c>
      <c r="L73" s="266">
        <v>2.4454699641068118E-3</v>
      </c>
      <c r="M73" s="266">
        <v>0.63593177449597182</v>
      </c>
      <c r="N73" s="266">
        <v>2.6353624015861127E-2</v>
      </c>
      <c r="O73" s="163">
        <v>1402.5061638239629</v>
      </c>
      <c r="P73" s="264">
        <v>0.98461431356168194</v>
      </c>
      <c r="S73" s="266"/>
    </row>
    <row r="74" spans="2:19" x14ac:dyDescent="0.2">
      <c r="B74" t="s">
        <v>355</v>
      </c>
      <c r="C74" s="266">
        <v>5.4395992414736118E-2</v>
      </c>
      <c r="D74" s="266">
        <v>7.2951423439256688E-2</v>
      </c>
      <c r="E74" s="266">
        <v>0.56562810953310161</v>
      </c>
      <c r="F74" s="266">
        <v>0.22275693627799387</v>
      </c>
      <c r="G74" s="266">
        <v>5.3301112647480713E-2</v>
      </c>
      <c r="H74" s="266">
        <v>0.55664719641264881</v>
      </c>
      <c r="I74" s="266">
        <v>0.72042052841706716</v>
      </c>
      <c r="J74" s="266">
        <v>0.27957947158293278</v>
      </c>
      <c r="K74" s="266">
        <v>7.2269103032965895E-2</v>
      </c>
      <c r="L74" s="266">
        <v>-4.789617874727007E-2</v>
      </c>
      <c r="M74" s="266">
        <v>0.59030031136256067</v>
      </c>
      <c r="N74" s="266">
        <v>-1.9218164269339835E-2</v>
      </c>
      <c r="O74" s="163">
        <v>1946.6274586872664</v>
      </c>
      <c r="P74" s="264">
        <v>1.0223294767348987</v>
      </c>
      <c r="S74" s="266"/>
    </row>
    <row r="75" spans="2:19" x14ac:dyDescent="0.2">
      <c r="B75" t="s">
        <v>160</v>
      </c>
      <c r="C75" s="266">
        <v>3.7328072890555178E-4</v>
      </c>
      <c r="D75" s="266">
        <v>0</v>
      </c>
      <c r="E75" s="266">
        <v>0.55498991057801628</v>
      </c>
      <c r="F75" s="266">
        <v>8.7578231431878484E-3</v>
      </c>
      <c r="G75" s="266">
        <v>3.3003165108013155E-2</v>
      </c>
      <c r="H75" s="266">
        <v>0.53392872873283004</v>
      </c>
      <c r="I75" s="266">
        <v>0.71422920992781569</v>
      </c>
      <c r="J75" s="266">
        <v>0.28577079007218431</v>
      </c>
      <c r="K75" s="266">
        <v>2.2657666424247391E-2</v>
      </c>
      <c r="L75" s="266">
        <v>-2.8296475360299916E-2</v>
      </c>
      <c r="M75" s="266">
        <v>0.66842194227374829</v>
      </c>
      <c r="N75" s="266">
        <v>-7.2858399150818903E-2</v>
      </c>
      <c r="O75" s="163">
        <v>2152.1113881655383</v>
      </c>
      <c r="P75" s="264">
        <v>1.5201079275343699</v>
      </c>
      <c r="S75" s="266"/>
    </row>
    <row r="76" spans="2:19" x14ac:dyDescent="0.2">
      <c r="B76" t="s">
        <v>310</v>
      </c>
      <c r="C76" s="266">
        <v>-1.2333688773623831E-2</v>
      </c>
      <c r="D76" s="266">
        <v>0</v>
      </c>
      <c r="E76" s="266">
        <v>7.0668843921707081E-2</v>
      </c>
      <c r="F76" s="266">
        <v>0.38679193238740428</v>
      </c>
      <c r="G76" s="266">
        <v>2.8190303859478783E-2</v>
      </c>
      <c r="H76" s="266">
        <v>9.8196372222344813E-2</v>
      </c>
      <c r="I76" s="266">
        <v>0.64301903710284025</v>
      </c>
      <c r="J76" s="266">
        <v>0.3569809628971598</v>
      </c>
      <c r="K76" s="266">
        <v>2.5271972990268551E-2</v>
      </c>
      <c r="L76" s="266">
        <v>-3.0299059955425117E-2</v>
      </c>
      <c r="M76" s="266">
        <v>0.72411302710784009</v>
      </c>
      <c r="N76" s="266">
        <v>-1.8944588006532672E-2</v>
      </c>
      <c r="O76" s="163">
        <v>1872.0544693913976</v>
      </c>
      <c r="P76" s="264">
        <v>2.5199453748292964</v>
      </c>
      <c r="S76" s="266"/>
    </row>
    <row r="77" spans="2:19" x14ac:dyDescent="0.2">
      <c r="B77" t="s">
        <v>431</v>
      </c>
      <c r="C77" s="266">
        <v>2.2833299057226666E-2</v>
      </c>
      <c r="D77" s="266">
        <v>0</v>
      </c>
      <c r="E77" s="266">
        <v>0.80861221841105035</v>
      </c>
      <c r="F77" s="266">
        <v>2.8043014739964772E-2</v>
      </c>
      <c r="G77" s="266">
        <v>0.36343515342541949</v>
      </c>
      <c r="H77" s="266">
        <v>0.56847582738481506</v>
      </c>
      <c r="I77" s="266">
        <v>0.70051649400783933</v>
      </c>
      <c r="J77" s="266">
        <v>0.29948350599216067</v>
      </c>
      <c r="K77" s="266">
        <v>-1.9004357096505053E-2</v>
      </c>
      <c r="L77" s="266">
        <v>1.0904329285250765E-2</v>
      </c>
      <c r="M77" s="266">
        <v>0.56172236064374648</v>
      </c>
      <c r="N77" s="266">
        <v>-1.7168748375331775E-3</v>
      </c>
      <c r="O77" s="163">
        <v>1482.560487972939</v>
      </c>
      <c r="P77" s="264">
        <v>1.3262228359619159</v>
      </c>
      <c r="S77" s="266"/>
    </row>
    <row r="78" spans="2:19" x14ac:dyDescent="0.2">
      <c r="B78" t="s">
        <v>202</v>
      </c>
      <c r="C78" s="266">
        <v>4.720057845611024E-2</v>
      </c>
      <c r="D78" s="266">
        <v>1.1561366358779883E-2</v>
      </c>
      <c r="E78" s="266">
        <v>0.71721062521643852</v>
      </c>
      <c r="F78" s="266">
        <v>8.6385235059353832E-2</v>
      </c>
      <c r="G78" s="266">
        <v>0.20770719910075108</v>
      </c>
      <c r="H78" s="266">
        <v>0.58841303002605772</v>
      </c>
      <c r="I78" s="266">
        <v>0.80288908654874624</v>
      </c>
      <c r="J78" s="266">
        <v>0.1971109134512537</v>
      </c>
      <c r="K78" s="266">
        <v>8.0217091406609257E-3</v>
      </c>
      <c r="L78" s="266">
        <v>4.3110299919953222E-2</v>
      </c>
      <c r="M78" s="266">
        <v>0.63007131442482878</v>
      </c>
      <c r="N78" s="266">
        <v>-2.0820470903335643E-2</v>
      </c>
      <c r="O78" s="163">
        <v>1856.1153749194589</v>
      </c>
      <c r="P78" s="264">
        <v>1.4883584267158403</v>
      </c>
      <c r="S78" s="266"/>
    </row>
    <row r="79" spans="2:19" x14ac:dyDescent="0.2">
      <c r="B79" t="s">
        <v>311</v>
      </c>
      <c r="C79" s="266">
        <v>2.9033158990504241E-2</v>
      </c>
      <c r="D79" s="266">
        <v>0</v>
      </c>
      <c r="E79" s="266">
        <v>0.65250266022755177</v>
      </c>
      <c r="F79" s="266">
        <v>0.10170254563313416</v>
      </c>
      <c r="G79" s="266">
        <v>0.17689490054841614</v>
      </c>
      <c r="H79" s="266">
        <v>0.54618738233608899</v>
      </c>
      <c r="I79" s="266">
        <v>0.74259815713465238</v>
      </c>
      <c r="J79" s="266">
        <v>0.25740184286534762</v>
      </c>
      <c r="K79" s="266">
        <v>5.1004747483015471E-2</v>
      </c>
      <c r="L79" s="266">
        <v>3.5682859949251043E-2</v>
      </c>
      <c r="M79" s="266">
        <v>0.44847924093373992</v>
      </c>
      <c r="N79" s="266">
        <v>7.3708239319402336E-3</v>
      </c>
      <c r="O79" s="163">
        <v>1571.888140312213</v>
      </c>
      <c r="P79" s="264">
        <v>0.93537681771556147</v>
      </c>
      <c r="S79" s="266"/>
    </row>
    <row r="80" spans="2:19" x14ac:dyDescent="0.2">
      <c r="B80" t="s">
        <v>203</v>
      </c>
      <c r="C80" s="266">
        <v>-3.175358561160524E-2</v>
      </c>
      <c r="D80" s="266">
        <v>0</v>
      </c>
      <c r="E80" s="266">
        <v>0.2924670711854373</v>
      </c>
      <c r="F80" s="266">
        <v>0.11021163238123427</v>
      </c>
      <c r="G80" s="266">
        <v>0.14910463223323961</v>
      </c>
      <c r="H80" s="266">
        <v>0.20579236347491486</v>
      </c>
      <c r="I80" s="266">
        <v>0.50755798947380237</v>
      </c>
      <c r="J80" s="266">
        <v>0.49244201052619768</v>
      </c>
      <c r="K80" s="266">
        <v>1.0774012135563119E-2</v>
      </c>
      <c r="L80" s="266">
        <v>-3.1841053722066005E-2</v>
      </c>
      <c r="M80" s="266">
        <v>0.50523992790069427</v>
      </c>
      <c r="N80" s="266">
        <v>-6.6933517666425239E-3</v>
      </c>
      <c r="O80" s="163">
        <v>1401.9334679724118</v>
      </c>
      <c r="P80" s="264">
        <v>2.2609786700125469</v>
      </c>
      <c r="S80" s="266"/>
    </row>
    <row r="81" spans="2:19" x14ac:dyDescent="0.2">
      <c r="B81" t="s">
        <v>233</v>
      </c>
      <c r="C81" s="266">
        <v>-1.1124411251919123E-2</v>
      </c>
      <c r="D81" s="266">
        <v>7.3286478044092031E-3</v>
      </c>
      <c r="E81" s="266">
        <v>-0.47239742896618009</v>
      </c>
      <c r="F81" s="266">
        <v>0.11218237520273923</v>
      </c>
      <c r="G81" s="266">
        <v>4.3130894455457439E-2</v>
      </c>
      <c r="H81" s="266">
        <v>-0.48783324322700788</v>
      </c>
      <c r="I81" s="266">
        <v>0.17001058627816706</v>
      </c>
      <c r="J81" s="266">
        <v>0.82998941372183299</v>
      </c>
      <c r="K81" s="266">
        <v>2.4298672433471495E-2</v>
      </c>
      <c r="L81" s="266">
        <v>-7.0808554093830722E-3</v>
      </c>
      <c r="M81" s="266">
        <v>0.7312172886374404</v>
      </c>
      <c r="N81" s="266">
        <v>2.4641740493892409E-3</v>
      </c>
      <c r="O81" s="163">
        <v>1796.1448356104011</v>
      </c>
      <c r="P81" s="264">
        <v>2.7728687916975536</v>
      </c>
      <c r="S81" s="266"/>
    </row>
    <row r="82" spans="2:19" x14ac:dyDescent="0.2">
      <c r="B82" t="s">
        <v>234</v>
      </c>
      <c r="C82" s="266">
        <v>4.1321382753718668E-2</v>
      </c>
      <c r="D82" s="266">
        <v>9.9985378806816308E-2</v>
      </c>
      <c r="E82" s="266">
        <v>0.91048999863221092</v>
      </c>
      <c r="F82" s="266">
        <v>0.12580829257479212</v>
      </c>
      <c r="G82" s="266">
        <v>0.29650364822352504</v>
      </c>
      <c r="H82" s="266">
        <v>0.72692954943142429</v>
      </c>
      <c r="I82" s="266">
        <v>0.77465482475718439</v>
      </c>
      <c r="J82" s="266">
        <v>0.22534517524281558</v>
      </c>
      <c r="K82" s="266">
        <v>-2.3771230208328421E-2</v>
      </c>
      <c r="L82" s="266">
        <v>4.4528608015243776E-2</v>
      </c>
      <c r="M82" s="266">
        <v>0.65328432707579065</v>
      </c>
      <c r="N82" s="266">
        <v>-4.0940899682603637E-4</v>
      </c>
      <c r="O82" s="163">
        <v>1620.7030081486025</v>
      </c>
      <c r="P82" s="264">
        <v>0.55574518477238688</v>
      </c>
      <c r="S82" s="266"/>
    </row>
    <row r="83" spans="2:19" x14ac:dyDescent="0.2">
      <c r="B83" t="s">
        <v>432</v>
      </c>
      <c r="C83" s="266">
        <v>3.7334377028523429E-2</v>
      </c>
      <c r="D83" s="266">
        <v>8.4352369603080027E-2</v>
      </c>
      <c r="E83" s="266">
        <v>0.82801356677972315</v>
      </c>
      <c r="F83" s="266">
        <v>0.12222935191126592</v>
      </c>
      <c r="G83" s="266">
        <v>0.29445412045100378</v>
      </c>
      <c r="H83" s="266">
        <v>0.64539682830690248</v>
      </c>
      <c r="I83" s="266">
        <v>0.72153197452548079</v>
      </c>
      <c r="J83" s="266">
        <v>0.27846802547451921</v>
      </c>
      <c r="K83" s="266">
        <v>4.7538729489412415E-2</v>
      </c>
      <c r="L83" s="266">
        <v>9.6053717114309281E-2</v>
      </c>
      <c r="M83" s="266">
        <v>0.62144180792932147</v>
      </c>
      <c r="N83" s="266">
        <v>1.5516063223532592E-2</v>
      </c>
      <c r="O83" s="163">
        <v>1286.0152585159342</v>
      </c>
      <c r="P83" s="264">
        <v>0.46878264363198069</v>
      </c>
      <c r="S83" s="266"/>
    </row>
    <row r="84" spans="2:19" x14ac:dyDescent="0.2">
      <c r="B84" t="s">
        <v>182</v>
      </c>
      <c r="C84" s="266">
        <v>-6.1908087631461486E-3</v>
      </c>
      <c r="D84" s="266">
        <v>0</v>
      </c>
      <c r="E84" s="266">
        <v>0.55296442687747038</v>
      </c>
      <c r="F84" s="266">
        <v>4.1594202898550724E-2</v>
      </c>
      <c r="G84" s="266">
        <v>3.6811594202898548E-2</v>
      </c>
      <c r="H84" s="266">
        <v>0.53329196310935445</v>
      </c>
      <c r="I84" s="266">
        <v>0.72410911350633211</v>
      </c>
      <c r="J84" s="266">
        <v>0.27589088649366789</v>
      </c>
      <c r="K84" s="266">
        <v>2.7009222661396573E-3</v>
      </c>
      <c r="L84" s="266">
        <v>-1.845520421607378E-2</v>
      </c>
      <c r="M84" s="266">
        <v>0.70355945123866359</v>
      </c>
      <c r="N84" s="266">
        <v>-1.4761706294220519E-2</v>
      </c>
      <c r="O84" s="163">
        <v>1696.2613462182062</v>
      </c>
      <c r="P84" s="264">
        <v>1.2228151374897904</v>
      </c>
      <c r="S84" s="266"/>
    </row>
    <row r="85" spans="2:19" x14ac:dyDescent="0.2">
      <c r="B85" t="s">
        <v>356</v>
      </c>
      <c r="C85" s="266">
        <v>4.684405144694534E-2</v>
      </c>
      <c r="D85" s="266">
        <v>0.11794037739271683</v>
      </c>
      <c r="E85" s="266">
        <v>0.50055038155665221</v>
      </c>
      <c r="F85" s="266">
        <v>7.3204869743031586E-2</v>
      </c>
      <c r="G85" s="266">
        <v>8.5135987532930127E-2</v>
      </c>
      <c r="H85" s="266">
        <v>0.45229385427875279</v>
      </c>
      <c r="I85" s="266">
        <v>0.49767878755035316</v>
      </c>
      <c r="J85" s="266">
        <v>0.50232121244964689</v>
      </c>
      <c r="K85" s="266">
        <v>-5.7346872307356151E-3</v>
      </c>
      <c r="L85" s="266">
        <v>4.4140806978920595E-2</v>
      </c>
      <c r="M85" s="266">
        <v>0.65377374535889599</v>
      </c>
      <c r="N85" s="266">
        <v>-1.6308486370519043E-3</v>
      </c>
      <c r="O85" s="163">
        <v>1919.3034552872941</v>
      </c>
      <c r="P85" s="264">
        <v>0.7074605714649661</v>
      </c>
      <c r="S85" s="266"/>
    </row>
    <row r="86" spans="2:19" x14ac:dyDescent="0.2">
      <c r="B86" t="s">
        <v>312</v>
      </c>
      <c r="C86" s="266">
        <v>1.6301150040117677E-2</v>
      </c>
      <c r="D86" s="266">
        <v>0</v>
      </c>
      <c r="E86" s="266">
        <v>-9.5134849286092019E-2</v>
      </c>
      <c r="F86" s="266">
        <v>0.18133262823902696</v>
      </c>
      <c r="G86" s="266">
        <v>0.2130618720253834</v>
      </c>
      <c r="H86" s="266">
        <v>-0.21612638815441568</v>
      </c>
      <c r="I86" s="266">
        <v>0.31913730469438861</v>
      </c>
      <c r="J86" s="266">
        <v>0.68086269530561139</v>
      </c>
      <c r="K86" s="266">
        <v>3.2125859333685877E-2</v>
      </c>
      <c r="L86" s="266">
        <v>1.940772078265468E-2</v>
      </c>
      <c r="M86" s="266">
        <v>0.61227278242179706</v>
      </c>
      <c r="N86" s="266">
        <v>4.0507811449598585E-2</v>
      </c>
      <c r="O86" s="163">
        <v>1198.5060764587527</v>
      </c>
      <c r="P86" s="264">
        <v>2.0148017381857688</v>
      </c>
      <c r="S86" s="266"/>
    </row>
    <row r="87" spans="2:19" x14ac:dyDescent="0.2">
      <c r="B87" t="s">
        <v>433</v>
      </c>
      <c r="C87" s="266">
        <v>2.5223832657485849E-2</v>
      </c>
      <c r="D87" s="266">
        <v>0</v>
      </c>
      <c r="E87" s="266">
        <v>-7.6015676535640841E-2</v>
      </c>
      <c r="F87" s="266">
        <v>2.4446082806255094E-3</v>
      </c>
      <c r="G87" s="266">
        <v>-1.138877032323154E-2</v>
      </c>
      <c r="H87" s="266">
        <v>-6.8091847425400656E-2</v>
      </c>
      <c r="I87" s="266">
        <v>0.14439048944423061</v>
      </c>
      <c r="J87" s="266">
        <v>0.85560951055576939</v>
      </c>
      <c r="K87" s="266">
        <v>2.6250436537192969E-2</v>
      </c>
      <c r="L87" s="266">
        <v>2.2020876178650423E-2</v>
      </c>
      <c r="M87" s="266">
        <v>0.61618888088739099</v>
      </c>
      <c r="N87" s="266">
        <v>3.2500109640891284E-2</v>
      </c>
      <c r="O87" s="163">
        <v>1208.858624129844</v>
      </c>
      <c r="P87" s="264">
        <v>1.859021567596002</v>
      </c>
      <c r="S87" s="266"/>
    </row>
    <row r="88" spans="2:19" x14ac:dyDescent="0.2">
      <c r="B88" t="s">
        <v>512</v>
      </c>
      <c r="C88" s="266">
        <v>1.2038314217285608E-2</v>
      </c>
      <c r="D88" s="266">
        <v>4.7683271273736574E-2</v>
      </c>
      <c r="E88" s="266">
        <v>-0.29041936650345479</v>
      </c>
      <c r="F88" s="266">
        <v>0.17539898945475513</v>
      </c>
      <c r="G88" s="266">
        <v>0.14639223619784794</v>
      </c>
      <c r="H88" s="266">
        <v>-0.36745428602144231</v>
      </c>
      <c r="I88" s="266">
        <v>0.2776609113758059</v>
      </c>
      <c r="J88" s="266">
        <v>0.72233908862419405</v>
      </c>
      <c r="K88" s="266">
        <v>-3.2163485501509957E-2</v>
      </c>
      <c r="L88" s="266">
        <v>2.1923652036238896E-2</v>
      </c>
      <c r="M88" s="266">
        <v>0.63107084278214354</v>
      </c>
      <c r="N88" s="266">
        <v>-1.4333559233173757E-2</v>
      </c>
      <c r="O88" s="163">
        <v>1895.8914723278931</v>
      </c>
      <c r="P88" s="264">
        <v>2.0953945019635842</v>
      </c>
      <c r="S88" s="266"/>
    </row>
    <row r="89" spans="2:19" x14ac:dyDescent="0.2">
      <c r="B89" t="s">
        <v>235</v>
      </c>
      <c r="C89" s="266">
        <v>-5.3985975038606622E-3</v>
      </c>
      <c r="D89" s="266">
        <v>0</v>
      </c>
      <c r="E89" s="266">
        <v>0.78675749852970001</v>
      </c>
      <c r="F89" s="266">
        <v>0.20483728680650853</v>
      </c>
      <c r="G89" s="266">
        <v>0.16577631836894727</v>
      </c>
      <c r="H89" s="266">
        <v>0.70026783963928629</v>
      </c>
      <c r="I89" s="266">
        <v>0.69954518779342723</v>
      </c>
      <c r="J89" s="266">
        <v>0.30045481220657277</v>
      </c>
      <c r="K89" s="266">
        <v>5.0504802979807882E-2</v>
      </c>
      <c r="L89" s="266">
        <v>-7.6761909429523623E-3</v>
      </c>
      <c r="M89" s="266">
        <v>0.68663116716929817</v>
      </c>
      <c r="N89" s="266">
        <v>1.4759594842952141E-2</v>
      </c>
      <c r="O89" s="163">
        <v>1321.2285792791338</v>
      </c>
      <c r="P89" s="264">
        <v>1.1157666045934203</v>
      </c>
      <c r="S89" s="266"/>
    </row>
    <row r="90" spans="2:19" x14ac:dyDescent="0.2">
      <c r="B90" t="s">
        <v>236</v>
      </c>
      <c r="C90" s="266">
        <v>5.1219198076757962E-2</v>
      </c>
      <c r="D90" s="266">
        <v>3.5670136629798309E-2</v>
      </c>
      <c r="E90" s="266">
        <v>0.51387443070917371</v>
      </c>
      <c r="F90" s="266">
        <v>0.45748210800260247</v>
      </c>
      <c r="G90" s="266">
        <v>0.33126219908913468</v>
      </c>
      <c r="H90" s="266">
        <v>0.34682661027976569</v>
      </c>
      <c r="I90" s="266">
        <v>0.63057087494410491</v>
      </c>
      <c r="J90" s="266">
        <v>0.36942912505589509</v>
      </c>
      <c r="K90" s="266">
        <v>4.3152244632400784E-2</v>
      </c>
      <c r="L90" s="266">
        <v>5.0390370852309692E-2</v>
      </c>
      <c r="M90" s="266">
        <v>0.60938710194439472</v>
      </c>
      <c r="N90" s="266">
        <v>-3.7868983122806357E-3</v>
      </c>
      <c r="O90" s="163">
        <v>1507.391657939289</v>
      </c>
      <c r="P90" s="264">
        <v>1.592825981580223</v>
      </c>
      <c r="S90" s="266"/>
    </row>
    <row r="91" spans="2:19" x14ac:dyDescent="0.2">
      <c r="B91" t="s">
        <v>482</v>
      </c>
      <c r="C91" s="266">
        <v>0.10137906049357638</v>
      </c>
      <c r="D91" s="266">
        <v>0.18115534913916875</v>
      </c>
      <c r="E91" s="266">
        <v>0.43873053922119432</v>
      </c>
      <c r="F91" s="266">
        <v>5.5095696468032508E-2</v>
      </c>
      <c r="G91" s="266">
        <v>-5.9677640860456693E-3</v>
      </c>
      <c r="H91" s="266">
        <v>0.44934042473500885</v>
      </c>
      <c r="I91" s="266">
        <v>0.57518113241301172</v>
      </c>
      <c r="J91" s="266">
        <v>0.42481886758698828</v>
      </c>
      <c r="K91" s="266">
        <v>4.2248773362298216E-2</v>
      </c>
      <c r="L91" s="266">
        <v>9.295291958500318E-2</v>
      </c>
      <c r="M91" s="266">
        <v>0.66335856385504721</v>
      </c>
      <c r="N91" s="266">
        <v>-1.3742706848860506E-3</v>
      </c>
      <c r="O91" s="163">
        <v>1561.1571520140767</v>
      </c>
      <c r="P91" s="264">
        <v>0.72305593451568895</v>
      </c>
      <c r="S91" s="266"/>
    </row>
    <row r="92" spans="2:19" ht="15" x14ac:dyDescent="0.25">
      <c r="B92" t="s">
        <v>313</v>
      </c>
      <c r="C92" s="266">
        <v>2.0235622337384008E-2</v>
      </c>
      <c r="D92" s="266">
        <v>0</v>
      </c>
      <c r="E92" s="266">
        <v>6.0761356126634997E-2</v>
      </c>
      <c r="F92" s="266">
        <v>0.1342660132919363</v>
      </c>
      <c r="G92" s="266">
        <v>-4.0012967742739936E-2</v>
      </c>
      <c r="H92" s="271">
        <v>0.10368196610930311</v>
      </c>
      <c r="I92" s="271">
        <v>0.31202334664656456</v>
      </c>
      <c r="J92" s="266">
        <v>0.68797665335343539</v>
      </c>
      <c r="K92" s="266">
        <v>6.1472088180650634E-2</v>
      </c>
      <c r="L92" s="266">
        <v>3.0134415641092781E-2</v>
      </c>
      <c r="M92" s="266">
        <v>0.55442102039931318</v>
      </c>
      <c r="N92" s="266">
        <v>2.9141364966952656E-2</v>
      </c>
      <c r="O92" s="163">
        <v>1374.2468700072625</v>
      </c>
      <c r="P92" s="264">
        <v>1.2569835981547923</v>
      </c>
      <c r="S92" s="266"/>
    </row>
    <row r="93" spans="2:19" x14ac:dyDescent="0.2">
      <c r="B93" t="s">
        <v>237</v>
      </c>
      <c r="C93" s="266">
        <v>1.6881001870394804E-2</v>
      </c>
      <c r="D93" s="266">
        <v>6.3934002797132308E-2</v>
      </c>
      <c r="E93" s="266">
        <v>0.57860634772638497</v>
      </c>
      <c r="F93" s="266">
        <v>0.27238020839895677</v>
      </c>
      <c r="G93" s="266">
        <v>0.42480186979475099</v>
      </c>
      <c r="H93" s="266">
        <v>0.32667471997177666</v>
      </c>
      <c r="I93" s="266">
        <v>0.65004121072162446</v>
      </c>
      <c r="J93" s="266">
        <v>0.34995878927837559</v>
      </c>
      <c r="K93" s="266">
        <v>-7.4936686532185923E-3</v>
      </c>
      <c r="L93" s="266">
        <v>1.8841269041289202E-2</v>
      </c>
      <c r="M93" s="266">
        <v>0.61351717595394917</v>
      </c>
      <c r="N93" s="266">
        <v>9.6797709714629941E-3</v>
      </c>
      <c r="O93" s="163">
        <v>1646.6180428037515</v>
      </c>
      <c r="P93" s="264">
        <v>0.69645909174303067</v>
      </c>
      <c r="S93" s="266"/>
    </row>
    <row r="94" spans="2:19" x14ac:dyDescent="0.2">
      <c r="B94" t="s">
        <v>282</v>
      </c>
      <c r="C94" s="266">
        <v>4.5685170731829934E-2</v>
      </c>
      <c r="D94" s="266">
        <v>0.23547880690737832</v>
      </c>
      <c r="E94" s="266">
        <v>-0.10686813186813186</v>
      </c>
      <c r="F94" s="266">
        <v>0.24203296703296703</v>
      </c>
      <c r="G94" s="266">
        <v>8.6302982731554165E-2</v>
      </c>
      <c r="H94" s="266">
        <v>-0.1356471742543171</v>
      </c>
      <c r="I94" s="266">
        <v>0.60125757100655186</v>
      </c>
      <c r="J94" s="266">
        <v>0.39874242899344808</v>
      </c>
      <c r="K94" s="266">
        <v>7.1153846153846151E-2</v>
      </c>
      <c r="L94" s="266">
        <v>7.3361459968602827E-2</v>
      </c>
      <c r="M94" s="266">
        <v>0.39489491103433438</v>
      </c>
      <c r="N94" s="266">
        <v>3.1338977654001239E-2</v>
      </c>
      <c r="O94" s="163">
        <v>1678.5697866666667</v>
      </c>
      <c r="P94" s="264">
        <v>2.5731346330509339</v>
      </c>
      <c r="S94" s="266"/>
    </row>
    <row r="95" spans="2:19" x14ac:dyDescent="0.2">
      <c r="B95" t="s">
        <v>161</v>
      </c>
      <c r="C95" s="266">
        <v>7.0559638236134042E-3</v>
      </c>
      <c r="D95" s="266">
        <v>0.10084090371821283</v>
      </c>
      <c r="E95" s="266">
        <v>0.63655398331701052</v>
      </c>
      <c r="F95" s="266">
        <v>3.7317213197798113E-2</v>
      </c>
      <c r="G95" s="266">
        <v>2.5649251967174359E-2</v>
      </c>
      <c r="H95" s="266">
        <v>0.62384705008273944</v>
      </c>
      <c r="I95" s="266">
        <v>0.58732900059082849</v>
      </c>
      <c r="J95" s="266">
        <v>0.41267099940917146</v>
      </c>
      <c r="K95" s="266">
        <v>5.6347303366991994E-2</v>
      </c>
      <c r="L95" s="266">
        <v>3.7148357029482288E-3</v>
      </c>
      <c r="M95" s="266">
        <v>0.65270117897212598</v>
      </c>
      <c r="N95" s="266">
        <v>-0.12712250214865065</v>
      </c>
      <c r="O95" s="163">
        <v>2328.1372227899847</v>
      </c>
      <c r="P95" s="264">
        <v>0.74478574137277209</v>
      </c>
      <c r="S95" s="266"/>
    </row>
    <row r="96" spans="2:19" x14ac:dyDescent="0.2">
      <c r="B96" t="s">
        <v>434</v>
      </c>
      <c r="C96" s="266">
        <v>2.7384328305853821E-2</v>
      </c>
      <c r="D96" s="266">
        <v>1.0497214600482248E-2</v>
      </c>
      <c r="E96" s="266">
        <v>5.8763615199135276E-2</v>
      </c>
      <c r="F96" s="266">
        <v>1.5777001746071339E-2</v>
      </c>
      <c r="G96" s="266">
        <v>0.16265485989856157</v>
      </c>
      <c r="H96" s="266">
        <v>-4.8321900723372418E-2</v>
      </c>
      <c r="I96" s="266">
        <v>0.28335846738159071</v>
      </c>
      <c r="J96" s="266">
        <v>0.71664153261840935</v>
      </c>
      <c r="K96" s="266">
        <v>2.1971397688534133E-2</v>
      </c>
      <c r="L96" s="266">
        <v>3.243743244366841E-2</v>
      </c>
      <c r="M96" s="266">
        <v>0.51797557525905358</v>
      </c>
      <c r="N96" s="266">
        <v>4.1601367988792895E-2</v>
      </c>
      <c r="O96" s="163">
        <v>1242.9153460170312</v>
      </c>
      <c r="P96" s="264">
        <v>2.040175845646599</v>
      </c>
      <c r="S96" s="266"/>
    </row>
    <row r="97" spans="2:19" x14ac:dyDescent="0.2">
      <c r="B97" t="s">
        <v>483</v>
      </c>
      <c r="C97" s="266">
        <v>6.846619775098417E-2</v>
      </c>
      <c r="D97" s="266">
        <v>0.31870816955274622</v>
      </c>
      <c r="E97" s="266">
        <v>0.51902953362371185</v>
      </c>
      <c r="F97" s="266">
        <v>0.15773398491447999</v>
      </c>
      <c r="G97" s="266">
        <v>1.2256985020716031E-2</v>
      </c>
      <c r="H97" s="266">
        <v>0.52974543184956968</v>
      </c>
      <c r="I97" s="266">
        <v>0.72113865510010633</v>
      </c>
      <c r="J97" s="266">
        <v>0.27886134489989373</v>
      </c>
      <c r="K97" s="266">
        <v>1.386380537554446E-2</v>
      </c>
      <c r="L97" s="266">
        <v>5.2049027940082863E-2</v>
      </c>
      <c r="M97" s="266">
        <v>0.42905054308431578</v>
      </c>
      <c r="N97" s="266">
        <v>8.8632706267896318E-3</v>
      </c>
      <c r="O97" s="163">
        <v>1821.7447357394158</v>
      </c>
      <c r="P97" s="264">
        <v>0.41301907968574636</v>
      </c>
      <c r="S97" s="266"/>
    </row>
    <row r="98" spans="2:19" x14ac:dyDescent="0.2">
      <c r="B98" t="s">
        <v>435</v>
      </c>
      <c r="C98" s="266">
        <v>1.7590361013893056E-2</v>
      </c>
      <c r="D98" s="266">
        <v>7.775281861403667E-2</v>
      </c>
      <c r="E98" s="266">
        <v>0.61636866376992305</v>
      </c>
      <c r="F98" s="266">
        <v>4.7283470000618694E-2</v>
      </c>
      <c r="G98" s="266">
        <v>0.13362062811427702</v>
      </c>
      <c r="H98" s="266">
        <v>0.53251685933343174</v>
      </c>
      <c r="I98" s="266">
        <v>0.72549733640595204</v>
      </c>
      <c r="J98" s="266">
        <v>0.27450266359404796</v>
      </c>
      <c r="K98" s="266">
        <v>-5.8082009889539835E-2</v>
      </c>
      <c r="L98" s="266">
        <v>2.9319713403229569E-2</v>
      </c>
      <c r="M98" s="266">
        <v>0.61594508855306318</v>
      </c>
      <c r="N98" s="266">
        <v>6.1903504492723241E-3</v>
      </c>
      <c r="O98" s="163">
        <v>1976.7439530322331</v>
      </c>
      <c r="P98" s="264">
        <v>0.42768677959774137</v>
      </c>
      <c r="S98" s="266"/>
    </row>
    <row r="99" spans="2:19" x14ac:dyDescent="0.2">
      <c r="B99" t="s">
        <v>238</v>
      </c>
      <c r="C99" s="266">
        <v>-2.31815793059151E-2</v>
      </c>
      <c r="D99" s="266">
        <v>3.2652441339509454E-3</v>
      </c>
      <c r="E99" s="266">
        <v>0.25487888222340344</v>
      </c>
      <c r="F99" s="266">
        <v>8.3244741438226133E-2</v>
      </c>
      <c r="G99" s="266">
        <v>0.11635279823828688</v>
      </c>
      <c r="H99" s="266">
        <v>0.18691187637633833</v>
      </c>
      <c r="I99" s="266">
        <v>0.32978499986874227</v>
      </c>
      <c r="J99" s="266">
        <v>0.67021500013125768</v>
      </c>
      <c r="K99" s="266">
        <v>1.7275419545903257E-2</v>
      </c>
      <c r="L99" s="266">
        <v>-3.0303174121041842E-2</v>
      </c>
      <c r="M99" s="266">
        <v>0.62723276227423919</v>
      </c>
      <c r="N99" s="266">
        <v>2.6167741072333595E-2</v>
      </c>
      <c r="O99" s="163">
        <v>1237.7427808415475</v>
      </c>
      <c r="P99" s="264">
        <v>1.762409638554217</v>
      </c>
      <c r="S99" s="266"/>
    </row>
    <row r="100" spans="2:19" x14ac:dyDescent="0.2">
      <c r="B100" t="s">
        <v>147</v>
      </c>
      <c r="C100" s="266">
        <v>7.7534388876560945E-2</v>
      </c>
      <c r="D100" s="266">
        <v>2.6455789242320754E-2</v>
      </c>
      <c r="E100" s="266">
        <v>0.93194145409941842</v>
      </c>
      <c r="F100" s="266">
        <v>0.13801725747481217</v>
      </c>
      <c r="G100" s="266">
        <v>6.7292807494782822E-2</v>
      </c>
      <c r="H100" s="266">
        <v>0.90341734397489137</v>
      </c>
      <c r="I100" s="266">
        <v>0.86941557434266659</v>
      </c>
      <c r="J100" s="266">
        <v>0.13058442565733344</v>
      </c>
      <c r="K100" s="266">
        <v>1.2327442977304365E-2</v>
      </c>
      <c r="L100" s="266">
        <v>7.4764665426674634E-2</v>
      </c>
      <c r="M100" s="266">
        <v>0.63702587306265446</v>
      </c>
      <c r="N100" s="266">
        <v>-1.8707019525516885E-2</v>
      </c>
      <c r="O100" s="163">
        <v>2615.7710495963092</v>
      </c>
      <c r="P100" s="264">
        <v>1.1280519198981112</v>
      </c>
      <c r="S100" s="266"/>
    </row>
    <row r="101" spans="2:19" x14ac:dyDescent="0.2">
      <c r="B101" t="s">
        <v>314</v>
      </c>
      <c r="C101" s="266">
        <v>-1.8339145685084768E-2</v>
      </c>
      <c r="D101" s="266">
        <v>6.7111157412230435E-2</v>
      </c>
      <c r="E101" s="266">
        <v>0.44142098135222418</v>
      </c>
      <c r="F101" s="266">
        <v>0.10909469736430878</v>
      </c>
      <c r="G101" s="266">
        <v>4.3358683196166266E-2</v>
      </c>
      <c r="H101" s="266">
        <v>0.42546202729450983</v>
      </c>
      <c r="I101" s="266">
        <v>0.60514332571488394</v>
      </c>
      <c r="J101" s="266">
        <v>0.39485667428511612</v>
      </c>
      <c r="K101" s="266">
        <v>4.5796437128867593E-2</v>
      </c>
      <c r="L101" s="266">
        <v>9.0634441087613302E-3</v>
      </c>
      <c r="M101" s="266">
        <v>0.70757577835676477</v>
      </c>
      <c r="N101" s="266">
        <v>4.2576786815521983E-3</v>
      </c>
      <c r="O101" s="163">
        <v>1791.086305077406</v>
      </c>
      <c r="P101" s="264">
        <v>0.76177744998617125</v>
      </c>
      <c r="S101" s="266"/>
    </row>
    <row r="102" spans="2:19" x14ac:dyDescent="0.2">
      <c r="B102" t="s">
        <v>204</v>
      </c>
      <c r="C102" s="266">
        <v>1.6882749225077512E-3</v>
      </c>
      <c r="D102" s="266">
        <v>7.8554299954547588E-2</v>
      </c>
      <c r="E102" s="266">
        <v>0.59238166344415266</v>
      </c>
      <c r="F102" s="266">
        <v>7.8809346382971449E-2</v>
      </c>
      <c r="G102" s="266">
        <v>3.1310867400079503E-2</v>
      </c>
      <c r="H102" s="266">
        <v>0.58086050385205601</v>
      </c>
      <c r="I102" s="266">
        <v>0.79947332362764412</v>
      </c>
      <c r="J102" s="266">
        <v>0.20052667637235591</v>
      </c>
      <c r="K102" s="266">
        <v>-1.5128955178796095E-2</v>
      </c>
      <c r="L102" s="266">
        <v>-4.6987673705853102E-3</v>
      </c>
      <c r="M102" s="266">
        <v>0.62838927875363459</v>
      </c>
      <c r="N102" s="266">
        <v>-2.421336710749776E-2</v>
      </c>
      <c r="O102" s="163">
        <v>2349.9650607681701</v>
      </c>
      <c r="P102" s="264">
        <v>0.52152368573981611</v>
      </c>
      <c r="S102" s="266"/>
    </row>
    <row r="103" spans="2:19" x14ac:dyDescent="0.2">
      <c r="B103" t="s">
        <v>239</v>
      </c>
      <c r="C103" s="266">
        <v>9.8929962437800598E-3</v>
      </c>
      <c r="D103" s="266">
        <v>0</v>
      </c>
      <c r="E103" s="266">
        <v>-6.2156157426999578E-2</v>
      </c>
      <c r="F103" s="266">
        <v>4.9566229369445623E-2</v>
      </c>
      <c r="G103" s="266">
        <v>-1.741694879390605E-2</v>
      </c>
      <c r="H103" s="266">
        <v>-4.4538854210749046E-2</v>
      </c>
      <c r="I103" s="266">
        <v>0.18524836773623238</v>
      </c>
      <c r="J103" s="266">
        <v>0.81475163226376757</v>
      </c>
      <c r="K103" s="266">
        <v>3.7822683030046551E-2</v>
      </c>
      <c r="L103" s="266">
        <v>4.4104422344477361E-3</v>
      </c>
      <c r="M103" s="266">
        <v>0.645387171674763</v>
      </c>
      <c r="N103" s="266">
        <v>3.5804137336871926E-2</v>
      </c>
      <c r="O103" s="163">
        <v>1511.6482641428265</v>
      </c>
      <c r="P103" s="264">
        <v>1.0926292250795562</v>
      </c>
      <c r="S103" s="266"/>
    </row>
    <row r="104" spans="2:19" x14ac:dyDescent="0.2">
      <c r="B104" t="s">
        <v>240</v>
      </c>
      <c r="C104" s="266">
        <v>-2.0711231914833376E-2</v>
      </c>
      <c r="D104" s="266">
        <v>0</v>
      </c>
      <c r="E104" s="266">
        <v>-0.41025713319048157</v>
      </c>
      <c r="F104" s="266">
        <v>5.9053231081538288E-2</v>
      </c>
      <c r="G104" s="266">
        <v>8.8107589940227809E-3</v>
      </c>
      <c r="H104" s="266">
        <v>-0.40907395398669222</v>
      </c>
      <c r="I104" s="266">
        <v>0.19747269222531591</v>
      </c>
      <c r="J104" s="266">
        <v>0.80252730777468406</v>
      </c>
      <c r="K104" s="266">
        <v>2.3598736889590619E-2</v>
      </c>
      <c r="L104" s="266">
        <v>-1.6303428442539753E-2</v>
      </c>
      <c r="M104" s="266">
        <v>0.63757589039157314</v>
      </c>
      <c r="N104" s="266">
        <v>7.221416242231376E-3</v>
      </c>
      <c r="O104" s="163">
        <v>1674.0589727778613</v>
      </c>
      <c r="P104" s="264">
        <v>3.5578485747452597</v>
      </c>
      <c r="S104" s="266"/>
    </row>
    <row r="105" spans="2:19" x14ac:dyDescent="0.2">
      <c r="B105" t="s">
        <v>436</v>
      </c>
      <c r="C105" s="266">
        <v>3.6515320841021909E-2</v>
      </c>
      <c r="D105" s="266">
        <v>0</v>
      </c>
      <c r="E105" s="266">
        <v>0.34688274291836874</v>
      </c>
      <c r="F105" s="266">
        <v>4.5511618562914351E-2</v>
      </c>
      <c r="G105" s="266">
        <v>0.15288287684992968</v>
      </c>
      <c r="H105" s="266">
        <v>0.24991260965646556</v>
      </c>
      <c r="I105" s="266">
        <v>0.49519035980813719</v>
      </c>
      <c r="J105" s="266">
        <v>0.50480964019186281</v>
      </c>
      <c r="K105" s="266">
        <v>-2.3898412911002479E-2</v>
      </c>
      <c r="L105" s="266">
        <v>2.3180623451416325E-2</v>
      </c>
      <c r="M105" s="266">
        <v>0.56318317384149452</v>
      </c>
      <c r="N105" s="266">
        <v>1.809856021753373E-2</v>
      </c>
      <c r="O105" s="163">
        <v>1472.7700111544893</v>
      </c>
      <c r="P105" s="264">
        <v>2.1340812804016949</v>
      </c>
      <c r="S105" s="266"/>
    </row>
    <row r="106" spans="2:19" x14ac:dyDescent="0.2">
      <c r="B106" t="s">
        <v>183</v>
      </c>
      <c r="C106" s="266">
        <v>-4.5206962053386805E-2</v>
      </c>
      <c r="D106" s="266">
        <v>0</v>
      </c>
      <c r="E106" s="266">
        <v>0.4334268645908762</v>
      </c>
      <c r="F106" s="266">
        <v>5.589246922519913E-2</v>
      </c>
      <c r="G106" s="266">
        <v>5.2679217958001449E-2</v>
      </c>
      <c r="H106" s="266">
        <v>0.40483888486603908</v>
      </c>
      <c r="I106" s="266">
        <v>0.65284670215645579</v>
      </c>
      <c r="J106" s="266">
        <v>0.34715329784354415</v>
      </c>
      <c r="K106" s="266">
        <v>6.290731354091238E-3</v>
      </c>
      <c r="L106" s="266">
        <v>-5.5960354815351193E-2</v>
      </c>
      <c r="M106" s="266">
        <v>0.74021796341971324</v>
      </c>
      <c r="N106" s="266">
        <v>-1.9855538367401497E-2</v>
      </c>
      <c r="O106" s="163">
        <v>1439.5083136805952</v>
      </c>
      <c r="P106" s="264">
        <v>1.581151832460733</v>
      </c>
      <c r="S106" s="266"/>
    </row>
    <row r="107" spans="2:19" x14ac:dyDescent="0.2">
      <c r="B107" t="s">
        <v>437</v>
      </c>
      <c r="C107" s="266">
        <v>1.2220498679297379E-2</v>
      </c>
      <c r="D107" s="266">
        <v>1.6321927768050569E-3</v>
      </c>
      <c r="E107" s="266">
        <v>0.28928391251446717</v>
      </c>
      <c r="F107" s="266">
        <v>0.10276879247410749</v>
      </c>
      <c r="G107" s="266">
        <v>4.5582692821319402E-2</v>
      </c>
      <c r="H107" s="266">
        <v>0.27107576342107609</v>
      </c>
      <c r="I107" s="266">
        <v>0.56642234620573972</v>
      </c>
      <c r="J107" s="266">
        <v>0.43357765379426028</v>
      </c>
      <c r="K107" s="266">
        <v>-1.3161409027509867E-2</v>
      </c>
      <c r="L107" s="266">
        <v>1.8247173338872897E-2</v>
      </c>
      <c r="M107" s="266">
        <v>0.4671025506080439</v>
      </c>
      <c r="N107" s="266">
        <v>-3.5087951330287932E-3</v>
      </c>
      <c r="O107" s="163">
        <v>1443.836183610827</v>
      </c>
      <c r="P107" s="264">
        <v>0.64137358072556083</v>
      </c>
      <c r="S107" s="266"/>
    </row>
    <row r="108" spans="2:19" x14ac:dyDescent="0.2">
      <c r="B108" t="s">
        <v>241</v>
      </c>
      <c r="C108" s="266">
        <v>9.6030812767626053E-2</v>
      </c>
      <c r="D108" s="266">
        <v>5.9816661931180931E-2</v>
      </c>
      <c r="E108" s="266">
        <v>0.96545587773474306</v>
      </c>
      <c r="F108" s="266">
        <v>2.0786290021085372E-2</v>
      </c>
      <c r="G108" s="266">
        <v>0.67467212992178971</v>
      </c>
      <c r="H108" s="266">
        <v>0.51591990548967415</v>
      </c>
      <c r="I108" s="266">
        <v>0.61226549069437175</v>
      </c>
      <c r="J108" s="266">
        <v>0.38773450930562825</v>
      </c>
      <c r="K108" s="266">
        <v>0.17245143634759463</v>
      </c>
      <c r="L108" s="266">
        <v>8.6950995199712874E-2</v>
      </c>
      <c r="M108" s="266">
        <v>0.49538660184604011</v>
      </c>
      <c r="N108" s="266">
        <v>-1.4832009130351917E-2</v>
      </c>
      <c r="O108" s="163">
        <v>1750.8988210083087</v>
      </c>
      <c r="P108" s="264">
        <v>1.2963053187170117</v>
      </c>
      <c r="S108" s="266"/>
    </row>
    <row r="109" spans="2:19" x14ac:dyDescent="0.2">
      <c r="B109" t="s">
        <v>438</v>
      </c>
      <c r="C109" s="266">
        <v>3.930382038747058E-2</v>
      </c>
      <c r="D109" s="266">
        <v>3.0697445972495088E-2</v>
      </c>
      <c r="E109" s="266">
        <v>0.41830386378519974</v>
      </c>
      <c r="F109" s="266">
        <v>0.19270833333333334</v>
      </c>
      <c r="G109" s="266">
        <v>0.26586034708578915</v>
      </c>
      <c r="H109" s="266">
        <v>0.26330243123772101</v>
      </c>
      <c r="I109" s="266">
        <v>0.56975609065957389</v>
      </c>
      <c r="J109" s="266">
        <v>0.43024390934042611</v>
      </c>
      <c r="K109" s="266">
        <v>-3.9579240340537003E-2</v>
      </c>
      <c r="L109" s="266">
        <v>3.5179273084479372E-2</v>
      </c>
      <c r="M109" s="266">
        <v>0.60787627735723948</v>
      </c>
      <c r="N109" s="266">
        <v>4.5831830643614013E-2</v>
      </c>
      <c r="O109" s="163">
        <v>1415.6816902994626</v>
      </c>
      <c r="P109" s="264">
        <v>1.1876184459886292</v>
      </c>
      <c r="S109" s="266"/>
    </row>
    <row r="110" spans="2:19" x14ac:dyDescent="0.2">
      <c r="B110" t="s">
        <v>439</v>
      </c>
      <c r="C110" s="266">
        <v>1.4461057650615934E-2</v>
      </c>
      <c r="D110" s="266">
        <v>9.2552180945290233E-2</v>
      </c>
      <c r="E110" s="266">
        <v>1.1220379451105236</v>
      </c>
      <c r="F110" s="266">
        <v>0.53732895175990347</v>
      </c>
      <c r="G110" s="266">
        <v>0.29311185848887061</v>
      </c>
      <c r="H110" s="266">
        <v>0.99013247413416872</v>
      </c>
      <c r="I110" s="266">
        <v>0.88166800540476586</v>
      </c>
      <c r="J110" s="266">
        <v>0.11833199459523409</v>
      </c>
      <c r="K110" s="266">
        <v>4.1167107391337832E-2</v>
      </c>
      <c r="L110" s="266">
        <v>8.8637005468409028E-3</v>
      </c>
      <c r="M110" s="266">
        <v>0.56604155881777207</v>
      </c>
      <c r="N110" s="266">
        <v>-9.1208104713544798E-3</v>
      </c>
      <c r="O110" s="163">
        <v>1140.7475705913691</v>
      </c>
      <c r="P110" s="264">
        <v>0.82521087160262419</v>
      </c>
      <c r="S110" s="266"/>
    </row>
    <row r="111" spans="2:19" x14ac:dyDescent="0.2">
      <c r="B111" t="s">
        <v>484</v>
      </c>
      <c r="C111" s="266">
        <v>-6.4943107350948423E-3</v>
      </c>
      <c r="D111" s="266">
        <v>0</v>
      </c>
      <c r="E111" s="266">
        <v>0.24155501467209572</v>
      </c>
      <c r="F111" s="266">
        <v>1.4353631628033939E-2</v>
      </c>
      <c r="G111" s="266">
        <v>4.7246422965810608E-2</v>
      </c>
      <c r="H111" s="266">
        <v>0.2116223470803667</v>
      </c>
      <c r="I111" s="266">
        <v>0.56754925559418734</v>
      </c>
      <c r="J111" s="266">
        <v>0.4324507444058126</v>
      </c>
      <c r="K111" s="266">
        <v>4.2765178226155005E-3</v>
      </c>
      <c r="L111" s="266">
        <v>-2.379381724710539E-2</v>
      </c>
      <c r="M111" s="266">
        <v>0.69550769731117412</v>
      </c>
      <c r="N111" s="266">
        <v>1.1669833912314985E-2</v>
      </c>
      <c r="O111" s="163">
        <v>1653.0629552221378</v>
      </c>
      <c r="P111" s="264">
        <v>2.0082801276935354</v>
      </c>
      <c r="S111" s="266"/>
    </row>
    <row r="112" spans="2:19" x14ac:dyDescent="0.2">
      <c r="B112" t="s">
        <v>357</v>
      </c>
      <c r="C112" s="266">
        <v>-1.447431543933278E-2</v>
      </c>
      <c r="D112" s="266">
        <v>0</v>
      </c>
      <c r="E112" s="266">
        <v>-2.2321539416511484</v>
      </c>
      <c r="F112" s="266">
        <v>1.0193668528864059</v>
      </c>
      <c r="G112" s="266">
        <v>1.080074487895717E-2</v>
      </c>
      <c r="H112" s="266">
        <v>-2.1170664183736809</v>
      </c>
      <c r="I112" s="266">
        <v>4.4185494998275267E-2</v>
      </c>
      <c r="J112" s="266">
        <v>0.95581450500172471</v>
      </c>
      <c r="K112" s="266">
        <v>0.10965238981998758</v>
      </c>
      <c r="L112" s="266">
        <v>-1.1018001241464928E-3</v>
      </c>
      <c r="M112" s="266">
        <v>0.50601982032469739</v>
      </c>
      <c r="N112" s="266">
        <v>2.2131355487943202E-2</v>
      </c>
      <c r="O112" s="163">
        <v>1517.2076133716946</v>
      </c>
      <c r="P112" s="264">
        <v>4.4896316174676754</v>
      </c>
      <c r="S112" s="266"/>
    </row>
    <row r="113" spans="2:19" x14ac:dyDescent="0.2">
      <c r="B113" t="s">
        <v>440</v>
      </c>
      <c r="C113" s="266">
        <v>2.9391294023668413E-2</v>
      </c>
      <c r="D113" s="266">
        <v>0.60461825432559335</v>
      </c>
      <c r="E113" s="266">
        <v>0.36076091850517783</v>
      </c>
      <c r="F113" s="266">
        <v>0.22821123046246863</v>
      </c>
      <c r="G113" s="266">
        <v>0.37013571750176882</v>
      </c>
      <c r="H113" s="266">
        <v>0.14015533543448891</v>
      </c>
      <c r="I113" s="266">
        <v>0.61885459433549384</v>
      </c>
      <c r="J113" s="266">
        <v>0.38114540566450616</v>
      </c>
      <c r="K113" s="266">
        <v>-8.1269698334083748E-2</v>
      </c>
      <c r="L113" s="266">
        <v>2.310333183250788E-2</v>
      </c>
      <c r="M113" s="266">
        <v>0.58799595329436327</v>
      </c>
      <c r="N113" s="266">
        <v>1.1858482686683165E-2</v>
      </c>
      <c r="O113" s="163">
        <v>1580.3345939560229</v>
      </c>
      <c r="P113" s="264">
        <v>0.43853597347907891</v>
      </c>
      <c r="S113" s="266"/>
    </row>
    <row r="114" spans="2:19" x14ac:dyDescent="0.2">
      <c r="B114" t="s">
        <v>358</v>
      </c>
      <c r="C114" s="266">
        <v>3.9036651399932454E-2</v>
      </c>
      <c r="D114" s="266">
        <v>3.1390476190476191E-2</v>
      </c>
      <c r="E114" s="266">
        <v>0.45652571428571431</v>
      </c>
      <c r="F114" s="266">
        <v>2.7725714285714284E-2</v>
      </c>
      <c r="G114" s="266">
        <v>1.4933333333333333E-2</v>
      </c>
      <c r="H114" s="266">
        <v>0.4498474666666667</v>
      </c>
      <c r="I114" s="266">
        <v>0.55417976939203351</v>
      </c>
      <c r="J114" s="266">
        <v>0.44582023060796644</v>
      </c>
      <c r="K114" s="266">
        <v>4.0137142857142857E-2</v>
      </c>
      <c r="L114" s="266">
        <v>1.328952380952381E-2</v>
      </c>
      <c r="M114" s="266">
        <v>0.53913856432764529</v>
      </c>
      <c r="N114" s="266">
        <v>3.4413683317259969E-2</v>
      </c>
      <c r="O114" s="163">
        <v>1432.6162717576706</v>
      </c>
      <c r="P114" s="264">
        <v>0.87027765134274016</v>
      </c>
      <c r="S114" s="266"/>
    </row>
    <row r="115" spans="2:19" x14ac:dyDescent="0.2">
      <c r="B115" t="s">
        <v>404</v>
      </c>
      <c r="C115" s="266">
        <v>3.1711693618804791E-2</v>
      </c>
      <c r="D115" s="266">
        <v>0.12275156299116342</v>
      </c>
      <c r="E115" s="266">
        <v>0.98504243651985612</v>
      </c>
      <c r="F115" s="266">
        <v>0.22240753029932592</v>
      </c>
      <c r="G115" s="266">
        <v>7.3198630854668018E-2</v>
      </c>
      <c r="H115" s="266">
        <v>0.96268825748314768</v>
      </c>
      <c r="I115" s="266">
        <v>0.74589066918001889</v>
      </c>
      <c r="J115" s="266">
        <v>0.25410933081998116</v>
      </c>
      <c r="K115" s="266">
        <v>4.8548775802451892E-3</v>
      </c>
      <c r="L115" s="266">
        <v>1.7620760713911495E-2</v>
      </c>
      <c r="M115" s="266">
        <v>0.64446007576939635</v>
      </c>
      <c r="N115" s="266">
        <v>-6.7263787628488786E-3</v>
      </c>
      <c r="O115" s="163">
        <v>1711.9506275499248</v>
      </c>
      <c r="P115" s="264">
        <v>0.5496879896637985</v>
      </c>
      <c r="S115" s="266"/>
    </row>
    <row r="116" spans="2:19" x14ac:dyDescent="0.2">
      <c r="B116" t="s">
        <v>441</v>
      </c>
      <c r="C116" s="266">
        <v>1.5125481370101189E-2</v>
      </c>
      <c r="D116" s="266">
        <v>1.1045306485045899E-2</v>
      </c>
      <c r="E116" s="266">
        <v>0.20017767249037607</v>
      </c>
      <c r="F116" s="266">
        <v>3.731122297897542E-2</v>
      </c>
      <c r="G116" s="266">
        <v>-7.2386733787385249E-2</v>
      </c>
      <c r="H116" s="266">
        <v>0.25315413088540123</v>
      </c>
      <c r="I116" s="266">
        <v>0.49330551667678979</v>
      </c>
      <c r="J116" s="266">
        <v>0.50669448332321021</v>
      </c>
      <c r="K116" s="266">
        <v>-6.8107787977494819E-4</v>
      </c>
      <c r="L116" s="266">
        <v>1.2041012733195144E-2</v>
      </c>
      <c r="M116" s="266">
        <v>0.5256339560778287</v>
      </c>
      <c r="N116" s="266">
        <v>1.8304441391691396E-2</v>
      </c>
      <c r="O116" s="163">
        <v>1331.8340615886086</v>
      </c>
      <c r="P116" s="264">
        <v>3.5262983790936158</v>
      </c>
      <c r="S116" s="266"/>
    </row>
    <row r="117" spans="2:19" ht="15" x14ac:dyDescent="0.25">
      <c r="B117" t="s">
        <v>586</v>
      </c>
      <c r="C117" s="266">
        <v>3.7448694854262388E-2</v>
      </c>
      <c r="D117" s="266">
        <v>4.8251396068788789E-2</v>
      </c>
      <c r="E117" s="266">
        <v>0.58826709721378734</v>
      </c>
      <c r="F117" s="266">
        <v>1.4738338937358357E-3</v>
      </c>
      <c r="G117" s="266">
        <v>7.5913554828102086E-3</v>
      </c>
      <c r="H117" s="271">
        <v>0.58335774910755278</v>
      </c>
      <c r="I117" s="271">
        <v>0.59853808447899515</v>
      </c>
      <c r="J117" s="266">
        <v>0.40146191552100485</v>
      </c>
      <c r="K117" s="266">
        <v>3.7142095362237268E-2</v>
      </c>
      <c r="L117" s="266">
        <v>-0.29730155085837862</v>
      </c>
      <c r="M117" s="266">
        <v>0.56714727617964877</v>
      </c>
      <c r="N117" s="266">
        <v>7.3203560196098152E-2</v>
      </c>
      <c r="O117" s="163">
        <v>1467.6353188352377</v>
      </c>
      <c r="P117" s="264">
        <v>0.77713081785098637</v>
      </c>
      <c r="S117" s="266"/>
    </row>
    <row r="118" spans="2:19" x14ac:dyDescent="0.2">
      <c r="B118" t="s">
        <v>359</v>
      </c>
      <c r="C118" s="266">
        <v>-1.0102510771059278E-3</v>
      </c>
      <c r="D118" s="266">
        <v>0</v>
      </c>
      <c r="E118" s="266">
        <v>1.0032981621561821</v>
      </c>
      <c r="F118" s="266">
        <v>6.1538036037780209E-3</v>
      </c>
      <c r="G118" s="266">
        <v>0.3245336246594665</v>
      </c>
      <c r="H118" s="266">
        <v>0.78659909006679274</v>
      </c>
      <c r="I118" s="266">
        <v>0.70942087210457649</v>
      </c>
      <c r="J118" s="266">
        <v>0.29057912789542351</v>
      </c>
      <c r="K118" s="266">
        <v>0.10493272302352274</v>
      </c>
      <c r="L118" s="266">
        <v>-1.299904581472211E-2</v>
      </c>
      <c r="M118" s="266">
        <v>0.49323302271737485</v>
      </c>
      <c r="N118" s="266">
        <v>-1.1291269667637495E-2</v>
      </c>
      <c r="O118" s="163">
        <v>2069.5986034410407</v>
      </c>
      <c r="P118" s="264">
        <v>1.4454048053286812</v>
      </c>
      <c r="S118" s="266"/>
    </row>
    <row r="119" spans="2:19" x14ac:dyDescent="0.2">
      <c r="B119" t="s">
        <v>360</v>
      </c>
      <c r="C119" s="266">
        <v>6.2664943718651583E-2</v>
      </c>
      <c r="D119" s="266">
        <v>2.6364248821019537E-2</v>
      </c>
      <c r="E119" s="266">
        <v>1.1120667714649299</v>
      </c>
      <c r="F119" s="266">
        <v>3.388352421588442E-2</v>
      </c>
      <c r="G119" s="266">
        <v>1.7302941836963844E-2</v>
      </c>
      <c r="H119" s="266">
        <v>1.1045398233400703</v>
      </c>
      <c r="I119" s="266">
        <v>0.8398953085863845</v>
      </c>
      <c r="J119" s="266">
        <v>0.16010469141361552</v>
      </c>
      <c r="K119" s="266">
        <v>3.696758739426604E-2</v>
      </c>
      <c r="L119" s="266">
        <v>5.499476008683285E-2</v>
      </c>
      <c r="M119" s="266">
        <v>0.62874338521957329</v>
      </c>
      <c r="N119" s="266">
        <v>-1.1802534549442611E-2</v>
      </c>
      <c r="O119" s="163">
        <v>1690.7931433867079</v>
      </c>
      <c r="P119" s="264">
        <v>0.85516457822199532</v>
      </c>
      <c r="S119" s="266"/>
    </row>
    <row r="120" spans="2:19" x14ac:dyDescent="0.2">
      <c r="B120" t="s">
        <v>442</v>
      </c>
      <c r="C120" s="266">
        <v>6.7848073313459198E-2</v>
      </c>
      <c r="D120" s="266">
        <v>0.25699390557309643</v>
      </c>
      <c r="E120" s="266">
        <v>0.18026286805198619</v>
      </c>
      <c r="F120" s="266">
        <v>6.2926793450326743E-2</v>
      </c>
      <c r="G120" s="266">
        <v>1.6814744107496879E-2</v>
      </c>
      <c r="H120" s="266">
        <v>0.17654820471400248</v>
      </c>
      <c r="I120" s="266">
        <v>0.41510403816103297</v>
      </c>
      <c r="J120" s="266">
        <v>0.58489596183896697</v>
      </c>
      <c r="K120" s="266">
        <v>-7.6400616785373382E-2</v>
      </c>
      <c r="L120" s="266">
        <v>6.0586313238857478E-2</v>
      </c>
      <c r="M120" s="266">
        <v>0.70767845598734058</v>
      </c>
      <c r="N120" s="266">
        <v>5.1932246137807866E-4</v>
      </c>
      <c r="O120" s="163">
        <v>1439.4479783539296</v>
      </c>
      <c r="P120" s="264">
        <v>0.40840061514802001</v>
      </c>
      <c r="S120" s="266"/>
    </row>
    <row r="121" spans="2:19" x14ac:dyDescent="0.2">
      <c r="B121" t="s">
        <v>162</v>
      </c>
      <c r="C121" s="266">
        <v>5.5449543931435613E-2</v>
      </c>
      <c r="D121" s="266">
        <v>0.10214283333888759</v>
      </c>
      <c r="E121" s="266">
        <v>0.8640856349204793</v>
      </c>
      <c r="F121" s="266">
        <v>0.3622223441981185</v>
      </c>
      <c r="G121" s="266">
        <v>8.1448642375602551E-2</v>
      </c>
      <c r="H121" s="266">
        <v>0.85298172583259979</v>
      </c>
      <c r="I121" s="266">
        <v>0.84010125613257691</v>
      </c>
      <c r="J121" s="266">
        <v>0.15989874386742303</v>
      </c>
      <c r="K121" s="266">
        <v>2.8052277997878926E-3</v>
      </c>
      <c r="L121" s="266">
        <v>8.0258478903942027E-2</v>
      </c>
      <c r="M121" s="266">
        <v>0.5914660241759877</v>
      </c>
      <c r="N121" s="266">
        <v>-3.6713334728107457E-2</v>
      </c>
      <c r="O121" s="163">
        <v>2668.5230023646495</v>
      </c>
      <c r="P121" s="264">
        <v>0.63557645429558607</v>
      </c>
      <c r="S121" s="266"/>
    </row>
    <row r="122" spans="2:19" x14ac:dyDescent="0.2">
      <c r="B122" t="s">
        <v>163</v>
      </c>
      <c r="C122" s="266">
        <v>1.146697127013044E-2</v>
      </c>
      <c r="D122" s="266">
        <v>0.11266991349858253</v>
      </c>
      <c r="E122" s="266">
        <v>1.0664752489641638</v>
      </c>
      <c r="F122" s="266">
        <v>3.394635458312132E-2</v>
      </c>
      <c r="G122" s="266">
        <v>0.19608199462092027</v>
      </c>
      <c r="H122" s="266">
        <v>0.93917387511812178</v>
      </c>
      <c r="I122" s="266">
        <v>0.86852745852427282</v>
      </c>
      <c r="J122" s="266">
        <v>0.13147254147572721</v>
      </c>
      <c r="K122" s="266">
        <v>-3.1656611179763032E-2</v>
      </c>
      <c r="L122" s="266">
        <v>-5.8152213418623247E-3</v>
      </c>
      <c r="M122" s="266">
        <v>0.76400197725102037</v>
      </c>
      <c r="N122" s="266">
        <v>6.0413520454525287E-3</v>
      </c>
      <c r="O122" s="163">
        <v>1397.8271066907773</v>
      </c>
      <c r="P122" s="264">
        <v>0.72325450450450446</v>
      </c>
      <c r="S122" s="266"/>
    </row>
    <row r="123" spans="2:19" x14ac:dyDescent="0.2">
      <c r="B123" t="s">
        <v>485</v>
      </c>
      <c r="C123" s="266">
        <v>4.4022926712211995E-2</v>
      </c>
      <c r="D123" s="266">
        <v>4.0004432624113476E-2</v>
      </c>
      <c r="E123" s="266">
        <v>0.32360926418439717</v>
      </c>
      <c r="F123" s="266">
        <v>0.20880429964539007</v>
      </c>
      <c r="G123" s="266">
        <v>1.8173758865248225E-2</v>
      </c>
      <c r="H123" s="266">
        <v>0.33648936170212768</v>
      </c>
      <c r="I123" s="266">
        <v>0.56319846259895978</v>
      </c>
      <c r="J123" s="266">
        <v>0.43680153740104027</v>
      </c>
      <c r="K123" s="266">
        <v>5.4493572695035464E-2</v>
      </c>
      <c r="L123" s="266">
        <v>2.1809895833333332E-2</v>
      </c>
      <c r="M123" s="266">
        <v>0.59906944009126639</v>
      </c>
      <c r="N123" s="266">
        <v>-2.0361877518187538E-2</v>
      </c>
      <c r="O123" s="163">
        <v>1589.8103314955683</v>
      </c>
      <c r="P123" s="264">
        <v>1.2965009208103131</v>
      </c>
      <c r="S123" s="266"/>
    </row>
    <row r="124" spans="2:19" x14ac:dyDescent="0.2">
      <c r="B124" t="s">
        <v>205</v>
      </c>
      <c r="C124" s="266">
        <v>-3.1531084450950958E-2</v>
      </c>
      <c r="D124" s="266">
        <v>2.2948180365488821E-3</v>
      </c>
      <c r="E124" s="266">
        <v>0.64015811416419366</v>
      </c>
      <c r="F124" s="266">
        <v>0.13515396907402291</v>
      </c>
      <c r="G124" s="266">
        <v>5.2912977135922912E-2</v>
      </c>
      <c r="H124" s="266">
        <v>0.62092489577200805</v>
      </c>
      <c r="I124" s="266">
        <v>0.9088240153527446</v>
      </c>
      <c r="J124" s="266">
        <v>9.1175984647255445E-2</v>
      </c>
      <c r="K124" s="266">
        <v>6.8844541096466459E-3</v>
      </c>
      <c r="L124" s="266">
        <v>-2.3834268481695522E-2</v>
      </c>
      <c r="M124" s="266">
        <v>0.43488600111036263</v>
      </c>
      <c r="N124" s="266">
        <v>-4.7108072564554194E-3</v>
      </c>
      <c r="O124" s="163">
        <v>1295.3375806518068</v>
      </c>
      <c r="P124" s="264">
        <v>0.86954896586095187</v>
      </c>
      <c r="S124" s="266"/>
    </row>
    <row r="125" spans="2:19" x14ac:dyDescent="0.2">
      <c r="B125" t="s">
        <v>443</v>
      </c>
      <c r="C125" s="266">
        <v>8.0715547397222323E-2</v>
      </c>
      <c r="D125" s="266">
        <v>1.545491588567437E-2</v>
      </c>
      <c r="E125" s="266">
        <v>-7.7594737761220098E-2</v>
      </c>
      <c r="F125" s="266">
        <v>8.4783747598812506E-2</v>
      </c>
      <c r="G125" s="266">
        <v>0.18898073228942314</v>
      </c>
      <c r="H125" s="266">
        <v>-0.19403777868327612</v>
      </c>
      <c r="I125" s="266">
        <v>0.19275501889028818</v>
      </c>
      <c r="J125" s="266">
        <v>0.80724498110971188</v>
      </c>
      <c r="K125" s="266">
        <v>4.0165318120961642E-2</v>
      </c>
      <c r="L125" s="266">
        <v>5.418679783456546E-2</v>
      </c>
      <c r="M125" s="266">
        <v>0.48496156724158024</v>
      </c>
      <c r="N125" s="266">
        <v>1.4211647794338611E-2</v>
      </c>
      <c r="O125" s="163">
        <v>1321.4553217803984</v>
      </c>
      <c r="P125" s="264">
        <v>1.9241361392569498</v>
      </c>
      <c r="S125" s="266"/>
    </row>
    <row r="126" spans="2:19" x14ac:dyDescent="0.2">
      <c r="B126" t="s">
        <v>315</v>
      </c>
      <c r="C126" s="266">
        <v>-1.4588330097938173E-2</v>
      </c>
      <c r="D126" s="266">
        <v>2.400097548409582E-2</v>
      </c>
      <c r="E126" s="266">
        <v>0.93870118554465165</v>
      </c>
      <c r="F126" s="266">
        <v>2.3876331346376407E-2</v>
      </c>
      <c r="G126" s="266">
        <v>1.5167597638381417E-2</v>
      </c>
      <c r="H126" s="266">
        <v>0.93140405488850131</v>
      </c>
      <c r="I126" s="266">
        <v>0.82155125137058616</v>
      </c>
      <c r="J126" s="266">
        <v>0.1784487486294139</v>
      </c>
      <c r="K126" s="266">
        <v>2.5461081972864494E-2</v>
      </c>
      <c r="L126" s="266">
        <v>-1.4191545772933824E-2</v>
      </c>
      <c r="M126" s="266">
        <v>0.64658064993858178</v>
      </c>
      <c r="N126" s="266">
        <v>4.6292631541098219E-3</v>
      </c>
      <c r="O126" s="163">
        <v>1791.9446483791148</v>
      </c>
      <c r="P126" s="264">
        <v>0.6275897696344116</v>
      </c>
      <c r="S126" s="266"/>
    </row>
    <row r="127" spans="2:19" x14ac:dyDescent="0.2">
      <c r="B127" t="s">
        <v>521</v>
      </c>
      <c r="C127" s="266">
        <v>-1.0139049826187718E-2</v>
      </c>
      <c r="D127" s="266">
        <v>0</v>
      </c>
      <c r="E127" s="266">
        <v>-0.21144907445160238</v>
      </c>
      <c r="F127" s="266">
        <v>0.10788550925548397</v>
      </c>
      <c r="G127" s="266">
        <v>0</v>
      </c>
      <c r="H127" s="266">
        <v>-0.1985028133409443</v>
      </c>
      <c r="I127" s="266">
        <v>0.24903315792810499</v>
      </c>
      <c r="J127" s="266">
        <v>0.75096684207189501</v>
      </c>
      <c r="K127" s="266">
        <v>-0.15754709288102423</v>
      </c>
      <c r="L127" s="266">
        <v>-3.2761151431134304E-2</v>
      </c>
      <c r="M127" s="266">
        <v>0.52896825235581013</v>
      </c>
      <c r="N127" s="266">
        <v>-4.3784837057271465E-2</v>
      </c>
      <c r="O127" s="163">
        <v>1426.0577091422522</v>
      </c>
      <c r="P127" s="264">
        <v>1.653061224489796</v>
      </c>
      <c r="S127" s="266"/>
    </row>
    <row r="128" spans="2:19" x14ac:dyDescent="0.2">
      <c r="B128" t="s">
        <v>316</v>
      </c>
      <c r="C128" s="266">
        <v>5.2704556788351474E-2</v>
      </c>
      <c r="D128" s="266">
        <v>9.1233105671321049E-2</v>
      </c>
      <c r="E128" s="266">
        <v>1.0912604649080482</v>
      </c>
      <c r="F128" s="266">
        <v>0.16300633241970064</v>
      </c>
      <c r="G128" s="266">
        <v>0.37493595451402534</v>
      </c>
      <c r="H128" s="266">
        <v>0.8596141352740152</v>
      </c>
      <c r="I128" s="266">
        <v>0.67756587745046359</v>
      </c>
      <c r="J128" s="266">
        <v>0.32243412254953641</v>
      </c>
      <c r="K128" s="266">
        <v>6.0264936899651293E-3</v>
      </c>
      <c r="L128" s="266">
        <v>7.1153291316178258E-2</v>
      </c>
      <c r="M128" s="266">
        <v>0.45849470173088192</v>
      </c>
      <c r="N128" s="266">
        <v>-5.5883648548915511E-2</v>
      </c>
      <c r="O128" s="163">
        <v>1621.9361010761083</v>
      </c>
      <c r="P128" s="264">
        <v>0.50873139501084441</v>
      </c>
      <c r="S128" s="266"/>
    </row>
    <row r="129" spans="2:19" x14ac:dyDescent="0.2">
      <c r="B129" t="s">
        <v>444</v>
      </c>
      <c r="C129" s="266">
        <v>2.6018285902557555E-2</v>
      </c>
      <c r="D129" s="266">
        <v>7.3094072070755065E-2</v>
      </c>
      <c r="E129" s="266">
        <v>0.6383743878371464</v>
      </c>
      <c r="F129" s="266">
        <v>7.388348804911922E-2</v>
      </c>
      <c r="G129" s="266">
        <v>0.12639426942474966</v>
      </c>
      <c r="H129" s="266">
        <v>0.56255624588845843</v>
      </c>
      <c r="I129" s="266">
        <v>0.76971772008473327</v>
      </c>
      <c r="J129" s="266">
        <v>0.23028227991526676</v>
      </c>
      <c r="K129" s="266">
        <v>5.2189167458519111E-3</v>
      </c>
      <c r="L129" s="266">
        <v>5.2514436079233971E-2</v>
      </c>
      <c r="M129" s="266">
        <v>0.66590100501850458</v>
      </c>
      <c r="N129" s="266">
        <v>1.3656542786736364E-2</v>
      </c>
      <c r="O129" s="163">
        <v>1202.4055522125689</v>
      </c>
      <c r="P129" s="264">
        <v>0.93810010214504591</v>
      </c>
      <c r="S129" s="266"/>
    </row>
    <row r="130" spans="2:19" x14ac:dyDescent="0.2">
      <c r="B130" t="s">
        <v>206</v>
      </c>
      <c r="C130" s="266">
        <v>4.2710603923579948E-2</v>
      </c>
      <c r="D130" s="266">
        <v>5.2107677659482383E-2</v>
      </c>
      <c r="E130" s="266">
        <v>0.91987238936083393</v>
      </c>
      <c r="F130" s="266">
        <v>5.0815496284205709E-2</v>
      </c>
      <c r="G130" s="266">
        <v>0.15025781800645471</v>
      </c>
      <c r="H130" s="266">
        <v>0.82529751085061398</v>
      </c>
      <c r="I130" s="266">
        <v>0.70905729271424811</v>
      </c>
      <c r="J130" s="266">
        <v>0.29094270728575183</v>
      </c>
      <c r="K130" s="266">
        <v>3.0060219361699496E-2</v>
      </c>
      <c r="L130" s="266">
        <v>1.5118212956436795E-2</v>
      </c>
      <c r="M130" s="266">
        <v>0.60018306299358948</v>
      </c>
      <c r="N130" s="266">
        <v>-1.1482849204687682E-2</v>
      </c>
      <c r="O130" s="163">
        <v>1529.9016044255434</v>
      </c>
      <c r="P130" s="264">
        <v>1.017832276032802</v>
      </c>
      <c r="S130" s="266"/>
    </row>
    <row r="131" spans="2:19" x14ac:dyDescent="0.2">
      <c r="B131" t="s">
        <v>242</v>
      </c>
      <c r="C131" s="266">
        <v>-1.4203056328373856E-2</v>
      </c>
      <c r="D131" s="266">
        <v>0.1834609896030521</v>
      </c>
      <c r="E131" s="266">
        <v>0.4399627224277019</v>
      </c>
      <c r="F131" s="266">
        <v>2.6356408538893905E-3</v>
      </c>
      <c r="G131" s="266">
        <v>0.60221481201036786</v>
      </c>
      <c r="H131" s="266">
        <v>3.6795075283222123E-2</v>
      </c>
      <c r="I131" s="266">
        <v>0.58396851272561723</v>
      </c>
      <c r="J131" s="266">
        <v>0.41603148727438283</v>
      </c>
      <c r="K131" s="266">
        <v>6.5395928590150573E-2</v>
      </c>
      <c r="L131" s="266">
        <v>2.3808136995078194E-2</v>
      </c>
      <c r="M131" s="266">
        <v>0.5629282148604593</v>
      </c>
      <c r="N131" s="266">
        <v>6.1285132614016273E-3</v>
      </c>
      <c r="O131" s="163">
        <v>1794.0824302170067</v>
      </c>
      <c r="P131" s="264">
        <v>2.8115896408642151</v>
      </c>
      <c r="S131" s="266"/>
    </row>
    <row r="132" spans="2:19" x14ac:dyDescent="0.2">
      <c r="B132" t="s">
        <v>361</v>
      </c>
      <c r="C132" s="266">
        <v>2.9765525579300591E-2</v>
      </c>
      <c r="D132" s="266">
        <v>5.2562755399883247E-2</v>
      </c>
      <c r="E132" s="266">
        <v>0.88394629305312322</v>
      </c>
      <c r="F132" s="266">
        <v>3.2014010507880913E-2</v>
      </c>
      <c r="G132" s="266">
        <v>0.24733216579100992</v>
      </c>
      <c r="H132" s="266">
        <v>0.72207542323409235</v>
      </c>
      <c r="I132" s="266">
        <v>0.67770955522971654</v>
      </c>
      <c r="J132" s="266">
        <v>0.32229044477028346</v>
      </c>
      <c r="K132" s="266">
        <v>4.422650321074139E-2</v>
      </c>
      <c r="L132" s="266">
        <v>1.428488032691185E-2</v>
      </c>
      <c r="M132" s="266">
        <v>0.51877269952189209</v>
      </c>
      <c r="N132" s="266">
        <v>5.4951422314844555E-3</v>
      </c>
      <c r="O132" s="163">
        <v>1361.4924012090003</v>
      </c>
      <c r="P132" s="264">
        <v>0.64056274900398402</v>
      </c>
      <c r="S132" s="266"/>
    </row>
    <row r="133" spans="2:19" x14ac:dyDescent="0.2">
      <c r="B133" t="s">
        <v>164</v>
      </c>
      <c r="C133" s="266">
        <v>7.6455196076732457E-2</v>
      </c>
      <c r="D133" s="266">
        <v>0.10891848694725625</v>
      </c>
      <c r="E133" s="266">
        <v>1.4862013851891316</v>
      </c>
      <c r="F133" s="266">
        <v>2.9238145977623867E-2</v>
      </c>
      <c r="G133" s="266">
        <v>0.10486947256259989</v>
      </c>
      <c r="H133" s="266">
        <v>1.4194474160895045</v>
      </c>
      <c r="I133" s="266">
        <v>0.81283993591898895</v>
      </c>
      <c r="J133" s="266">
        <v>0.18716006408101105</v>
      </c>
      <c r="K133" s="266">
        <v>1.6196057538625467E-2</v>
      </c>
      <c r="L133" s="266">
        <v>9.666489078316462E-2</v>
      </c>
      <c r="M133" s="266">
        <v>0.59880546848753136</v>
      </c>
      <c r="N133" s="266">
        <v>4.2117194693814592E-4</v>
      </c>
      <c r="O133" s="163">
        <v>1517.0797844849599</v>
      </c>
      <c r="P133" s="264">
        <v>0.76705882352941179</v>
      </c>
      <c r="S133" s="266"/>
    </row>
    <row r="134" spans="2:19" x14ac:dyDescent="0.2">
      <c r="B134" t="s">
        <v>185</v>
      </c>
      <c r="C134" s="266">
        <v>1.8346294359300862E-2</v>
      </c>
      <c r="D134" s="266">
        <v>3.3150185737086682E-2</v>
      </c>
      <c r="E134" s="266">
        <v>0.2822356247969604</v>
      </c>
      <c r="F134" s="266">
        <v>3.5636096555036086E-2</v>
      </c>
      <c r="G134" s="266">
        <v>3.8136131866269296E-2</v>
      </c>
      <c r="H134" s="266">
        <v>0.26096074803316432</v>
      </c>
      <c r="I134" s="266">
        <v>0.37030147040085626</v>
      </c>
      <c r="J134" s="266">
        <v>0.62969852959914374</v>
      </c>
      <c r="K134" s="266">
        <v>3.8404497238661565E-2</v>
      </c>
      <c r="L134" s="266">
        <v>9.6717467760844087E-3</v>
      </c>
      <c r="M134" s="266">
        <v>0.50317385073813636</v>
      </c>
      <c r="N134" s="266">
        <v>-1.0933844581209929E-2</v>
      </c>
      <c r="O134" s="163">
        <v>2524.7467675239536</v>
      </c>
      <c r="P134" s="264">
        <v>0.87871884213347629</v>
      </c>
      <c r="S134" s="266"/>
    </row>
    <row r="135" spans="2:19" x14ac:dyDescent="0.2">
      <c r="B135" t="s">
        <v>243</v>
      </c>
      <c r="C135" s="266">
        <v>-3.6261287004229058E-2</v>
      </c>
      <c r="D135" s="266">
        <v>2.0787746170678335E-2</v>
      </c>
      <c r="E135" s="266">
        <v>0.52174066492553117</v>
      </c>
      <c r="F135" s="266">
        <v>0.30648690619044255</v>
      </c>
      <c r="G135" s="266">
        <v>0.11770311286793252</v>
      </c>
      <c r="H135" s="266">
        <v>0.47965800804686948</v>
      </c>
      <c r="I135" s="266">
        <v>0.66427281040212327</v>
      </c>
      <c r="J135" s="266">
        <v>0.33572718959787673</v>
      </c>
      <c r="K135" s="266">
        <v>1.3764382014540834E-2</v>
      </c>
      <c r="L135" s="266">
        <v>3.8663796145973033E-2</v>
      </c>
      <c r="M135" s="266">
        <v>0.54900141151987503</v>
      </c>
      <c r="N135" s="266">
        <v>1.2627755115301891E-3</v>
      </c>
      <c r="O135" s="163">
        <v>1396.8455350614822</v>
      </c>
      <c r="P135" s="264">
        <v>1.2223297213622291</v>
      </c>
      <c r="S135" s="266"/>
    </row>
    <row r="136" spans="2:19" x14ac:dyDescent="0.2">
      <c r="B136" t="s">
        <v>317</v>
      </c>
      <c r="C136" s="266">
        <v>-1.7745653585179853E-2</v>
      </c>
      <c r="D136" s="266">
        <v>4.2729523194489291E-3</v>
      </c>
      <c r="E136" s="266">
        <v>0.34969325153374231</v>
      </c>
      <c r="F136" s="266">
        <v>2.9286406199547949E-2</v>
      </c>
      <c r="G136" s="266">
        <v>-1.8469486599935421E-2</v>
      </c>
      <c r="H136" s="266">
        <v>0.36558217629964479</v>
      </c>
      <c r="I136" s="266">
        <v>0.47038170595641449</v>
      </c>
      <c r="J136" s="266">
        <v>0.52961829404358551</v>
      </c>
      <c r="K136" s="266">
        <v>-1.7974383812291465E-3</v>
      </c>
      <c r="L136" s="266">
        <v>-8.4517274782047146E-3</v>
      </c>
      <c r="M136" s="266">
        <v>0.69426904809331413</v>
      </c>
      <c r="N136" s="266">
        <v>2.9462117440217258E-2</v>
      </c>
      <c r="O136" s="163">
        <v>1369.7009930816166</v>
      </c>
      <c r="P136" s="264">
        <v>0.94054811312494524</v>
      </c>
      <c r="S136" s="266"/>
    </row>
    <row r="137" spans="2:19" x14ac:dyDescent="0.2">
      <c r="B137" t="s">
        <v>318</v>
      </c>
      <c r="C137" s="266">
        <v>-5.229880487461664E-2</v>
      </c>
      <c r="D137" s="266">
        <v>5.7847283172424797E-4</v>
      </c>
      <c r="E137" s="266">
        <v>0.50562514960504268</v>
      </c>
      <c r="F137" s="266">
        <v>9.1957232905130453E-3</v>
      </c>
      <c r="G137" s="266">
        <v>1.1968403414984441E-4</v>
      </c>
      <c r="H137" s="266">
        <v>0.50664844809702392</v>
      </c>
      <c r="I137" s="266">
        <v>0.51845721424109936</v>
      </c>
      <c r="J137" s="266">
        <v>0.48154278575890069</v>
      </c>
      <c r="K137" s="266">
        <v>9.1957232905130453E-3</v>
      </c>
      <c r="L137" s="266">
        <v>-4.2398069097582383E-2</v>
      </c>
      <c r="M137" s="266">
        <v>0.61888402075147553</v>
      </c>
      <c r="N137" s="266">
        <v>7.4963271393905337E-2</v>
      </c>
      <c r="O137" s="163">
        <v>1333.5956901931647</v>
      </c>
      <c r="P137" s="264">
        <v>1.0635879729535318</v>
      </c>
      <c r="S137" s="266"/>
    </row>
    <row r="138" spans="2:19" x14ac:dyDescent="0.2">
      <c r="B138" t="s">
        <v>244</v>
      </c>
      <c r="C138" s="266">
        <v>0.14896049296843866</v>
      </c>
      <c r="D138" s="266">
        <v>0.24087098949802485</v>
      </c>
      <c r="E138" s="266">
        <v>1.0179689758165527</v>
      </c>
      <c r="F138" s="266">
        <v>4.4392523364485979E-2</v>
      </c>
      <c r="G138" s="266">
        <v>0.15490413334617978</v>
      </c>
      <c r="H138" s="266">
        <v>0.91951030927835042</v>
      </c>
      <c r="I138" s="266">
        <v>0.71787566385504531</v>
      </c>
      <c r="J138" s="266">
        <v>0.28212433614495469</v>
      </c>
      <c r="K138" s="266">
        <v>2.3605356970806436E-3</v>
      </c>
      <c r="L138" s="266">
        <v>0.10383346179786107</v>
      </c>
      <c r="M138" s="266">
        <v>0.620984601310129</v>
      </c>
      <c r="N138" s="266">
        <v>-2.3485150532580258E-3</v>
      </c>
      <c r="O138" s="163">
        <v>1351.1704821418953</v>
      </c>
      <c r="P138" s="264">
        <v>0.77516992970429321</v>
      </c>
      <c r="S138" s="266"/>
    </row>
    <row r="139" spans="2:19" x14ac:dyDescent="0.2">
      <c r="B139" t="s">
        <v>186</v>
      </c>
      <c r="C139" s="266">
        <v>2.5420036252091466E-2</v>
      </c>
      <c r="D139" s="266">
        <v>0</v>
      </c>
      <c r="E139" s="266">
        <v>0.79132452465356107</v>
      </c>
      <c r="F139" s="266">
        <v>1.5791169835642927E-3</v>
      </c>
      <c r="G139" s="266">
        <v>0.22623267805349662</v>
      </c>
      <c r="H139" s="266">
        <v>0.63993812439574604</v>
      </c>
      <c r="I139" s="266">
        <v>0.75026712969146525</v>
      </c>
      <c r="J139" s="266">
        <v>0.2497328703085348</v>
      </c>
      <c r="K139" s="266">
        <v>9.1769255559136315E-2</v>
      </c>
      <c r="L139" s="266">
        <v>3.8260044125111195E-3</v>
      </c>
      <c r="M139" s="266">
        <v>0.65238116280646385</v>
      </c>
      <c r="N139" s="266">
        <v>-2.4116248545230822E-2</v>
      </c>
      <c r="O139" s="163">
        <v>2697.5383440568912</v>
      </c>
      <c r="P139" s="264">
        <v>1.8274312613672836</v>
      </c>
      <c r="S139" s="266"/>
    </row>
    <row r="140" spans="2:19" ht="15" x14ac:dyDescent="0.25">
      <c r="B140" t="s">
        <v>319</v>
      </c>
      <c r="C140" s="266">
        <v>-4.6069013441085065E-3</v>
      </c>
      <c r="D140" s="271">
        <v>0.1302044802177966</v>
      </c>
      <c r="E140" s="271">
        <v>0.53504571952771285</v>
      </c>
      <c r="F140" s="271">
        <v>6.8534903678276566E-3</v>
      </c>
      <c r="G140" s="271">
        <v>0.33876838398484893</v>
      </c>
      <c r="H140" s="271">
        <v>0.3088933211020034</v>
      </c>
      <c r="I140" s="271">
        <v>0.49272118442762541</v>
      </c>
      <c r="J140" s="271">
        <v>0.50727881557237453</v>
      </c>
      <c r="K140" s="271">
        <v>0.10044091971710117</v>
      </c>
      <c r="L140" s="271">
        <v>-6.2172639303997865E-3</v>
      </c>
      <c r="M140" s="271">
        <v>0.50808781501575617</v>
      </c>
      <c r="N140" s="271">
        <v>-5.0202325775241634E-3</v>
      </c>
      <c r="O140" s="272">
        <v>1504.302426051659</v>
      </c>
      <c r="P140" s="264">
        <v>0.5506457436467157</v>
      </c>
      <c r="S140" s="266"/>
    </row>
    <row r="141" spans="2:19" x14ac:dyDescent="0.2">
      <c r="B141" t="s">
        <v>486</v>
      </c>
      <c r="C141" s="266">
        <v>4.4502271099643886E-2</v>
      </c>
      <c r="D141" s="266">
        <v>7.849350436061607E-2</v>
      </c>
      <c r="E141" s="266">
        <v>0.52183930809787293</v>
      </c>
      <c r="F141" s="266">
        <v>3.7167278110939096E-2</v>
      </c>
      <c r="G141" s="266">
        <v>-6.3881636625793686E-3</v>
      </c>
      <c r="H141" s="266">
        <v>0.53057945112511373</v>
      </c>
      <c r="I141" s="266">
        <v>0.79255925658666637</v>
      </c>
      <c r="J141" s="266">
        <v>0.20744074341333363</v>
      </c>
      <c r="K141" s="266">
        <v>-2.0393820025262833E-2</v>
      </c>
      <c r="L141" s="266">
        <v>4.5436870693423691E-2</v>
      </c>
      <c r="M141" s="266">
        <v>0.74451375149996724</v>
      </c>
      <c r="N141" s="266">
        <v>-1.8094623246186541E-2</v>
      </c>
      <c r="O141" s="163">
        <v>2215.7923953579048</v>
      </c>
      <c r="P141" s="264">
        <v>0.61883462282398449</v>
      </c>
      <c r="S141" s="266"/>
    </row>
    <row r="142" spans="2:19" ht="15" x14ac:dyDescent="0.25">
      <c r="B142" t="s">
        <v>445</v>
      </c>
      <c r="C142" s="266">
        <v>-3.6416041653753177E-3</v>
      </c>
      <c r="D142" s="266">
        <v>0</v>
      </c>
      <c r="E142" s="266">
        <v>0.41247141430734047</v>
      </c>
      <c r="F142" s="266">
        <v>0.12068798917769832</v>
      </c>
      <c r="G142" s="266">
        <v>0.42226302058169873</v>
      </c>
      <c r="H142" s="271">
        <v>0.14403774921892609</v>
      </c>
      <c r="I142" s="271">
        <v>0.57499884082162567</v>
      </c>
      <c r="J142" s="266">
        <v>0.42500115917837439</v>
      </c>
      <c r="K142" s="266">
        <v>8.8575385705543207E-3</v>
      </c>
      <c r="L142" s="266">
        <v>-1.2754855541598222E-2</v>
      </c>
      <c r="M142" s="266">
        <v>0.61409841453225544</v>
      </c>
      <c r="N142" s="266">
        <v>3.1066855867007331E-2</v>
      </c>
      <c r="O142" s="163">
        <v>1431.1593191624768</v>
      </c>
      <c r="P142" s="264">
        <v>1.1182465447438223</v>
      </c>
      <c r="S142" s="266"/>
    </row>
    <row r="143" spans="2:19" x14ac:dyDescent="0.2">
      <c r="B143" t="s">
        <v>320</v>
      </c>
      <c r="C143" s="266">
        <v>4.7891660674447334E-2</v>
      </c>
      <c r="D143" s="266">
        <v>0</v>
      </c>
      <c r="E143" s="266">
        <v>0.98526500578941467</v>
      </c>
      <c r="F143" s="266">
        <v>2.521196728046913E-3</v>
      </c>
      <c r="G143" s="266">
        <v>0.41422328465244834</v>
      </c>
      <c r="H143" s="266">
        <v>0.70803794867963987</v>
      </c>
      <c r="I143" s="266">
        <v>0.70191073967472339</v>
      </c>
      <c r="J143" s="266">
        <v>0.29808926032527655</v>
      </c>
      <c r="K143" s="266">
        <v>0.1195420759720614</v>
      </c>
      <c r="L143" s="266">
        <v>2.1453516602547341E-2</v>
      </c>
      <c r="M143" s="266">
        <v>0.49967264931581429</v>
      </c>
      <c r="N143" s="266">
        <v>5.98706083447616E-2</v>
      </c>
      <c r="O143" s="163">
        <v>959.74357621110676</v>
      </c>
      <c r="P143" s="264">
        <v>1.0432986943778311</v>
      </c>
      <c r="S143" s="266"/>
    </row>
    <row r="144" spans="2:19" ht="15" x14ac:dyDescent="0.25">
      <c r="B144" t="s">
        <v>207</v>
      </c>
      <c r="C144" s="266">
        <v>-6.7769836950091113E-3</v>
      </c>
      <c r="D144" s="271">
        <v>0</v>
      </c>
      <c r="E144" s="271">
        <v>1.4341373335765093</v>
      </c>
      <c r="F144" s="271">
        <v>0.12403109611526536</v>
      </c>
      <c r="G144" s="271">
        <v>0.3112689221229254</v>
      </c>
      <c r="H144" s="271">
        <v>1.2404708872879813</v>
      </c>
      <c r="I144" s="271">
        <v>0.86059013465237699</v>
      </c>
      <c r="J144" s="271">
        <v>0.13940986534762298</v>
      </c>
      <c r="K144" s="271">
        <v>5.8989148276490974E-2</v>
      </c>
      <c r="L144" s="271">
        <v>-1.2310778770745942E-2</v>
      </c>
      <c r="M144" s="271">
        <v>0.60647239684355869</v>
      </c>
      <c r="N144" s="271">
        <v>-6.7991689647447151E-3</v>
      </c>
      <c r="O144" s="272">
        <v>1524.3677536758541</v>
      </c>
      <c r="P144" s="264">
        <v>1.1738456237077877</v>
      </c>
      <c r="S144" s="266"/>
    </row>
    <row r="145" spans="2:19" x14ac:dyDescent="0.2">
      <c r="B145" t="s">
        <v>362</v>
      </c>
      <c r="C145" s="266">
        <v>-4.2736772618573136E-3</v>
      </c>
      <c r="D145" s="266">
        <v>0.12051176227816757</v>
      </c>
      <c r="E145" s="266">
        <v>0.84461940590706586</v>
      </c>
      <c r="F145" s="266">
        <v>5.8605035080478748E-2</v>
      </c>
      <c r="G145" s="266">
        <v>0.18751918050308475</v>
      </c>
      <c r="H145" s="266">
        <v>0.7260141591796565</v>
      </c>
      <c r="I145" s="266">
        <v>0.71803954359605748</v>
      </c>
      <c r="J145" s="266">
        <v>0.28196045640394252</v>
      </c>
      <c r="K145" s="266">
        <v>6.2118374128279207E-3</v>
      </c>
      <c r="L145" s="266">
        <v>-2.4445220483189944E-3</v>
      </c>
      <c r="M145" s="266">
        <v>0.65989091550728662</v>
      </c>
      <c r="N145" s="266">
        <v>2.5152876339342684E-2</v>
      </c>
      <c r="O145" s="163">
        <v>1547.1424715270784</v>
      </c>
      <c r="P145" s="264">
        <v>1.0088947525215985</v>
      </c>
      <c r="S145" s="266"/>
    </row>
    <row r="146" spans="2:19" x14ac:dyDescent="0.2">
      <c r="B146" t="s">
        <v>446</v>
      </c>
      <c r="C146" s="266">
        <v>-7.0056977656543741E-3</v>
      </c>
      <c r="D146" s="266">
        <v>0</v>
      </c>
      <c r="E146" s="266">
        <v>0.33033202702377806</v>
      </c>
      <c r="F146" s="266">
        <v>7.1231938066501577E-2</v>
      </c>
      <c r="G146" s="266">
        <v>0.43774192772822351</v>
      </c>
      <c r="H146" s="266">
        <v>4.5592768013848484E-2</v>
      </c>
      <c r="I146" s="266">
        <v>0.4293655134265103</v>
      </c>
      <c r="J146" s="266">
        <v>0.5706344865734897</v>
      </c>
      <c r="K146" s="266">
        <v>-2.5286706897795302E-2</v>
      </c>
      <c r="L146" s="266">
        <v>-7.8138148246099104E-3</v>
      </c>
      <c r="M146" s="266">
        <v>0.64344194805324639</v>
      </c>
      <c r="N146" s="266">
        <v>-6.8367524583094301E-3</v>
      </c>
      <c r="O146" s="163">
        <v>1919.7635533387038</v>
      </c>
      <c r="P146" s="264">
        <v>0.89505029538559799</v>
      </c>
      <c r="S146" s="266"/>
    </row>
    <row r="147" spans="2:19" x14ac:dyDescent="0.2">
      <c r="B147" t="s">
        <v>363</v>
      </c>
      <c r="C147" s="266">
        <v>7.6974243629481303E-3</v>
      </c>
      <c r="D147" s="266">
        <v>6.2362516498020236E-2</v>
      </c>
      <c r="E147" s="266">
        <v>1.6879811922569292</v>
      </c>
      <c r="F147" s="266">
        <v>0.11591234051913771</v>
      </c>
      <c r="G147" s="266">
        <v>1.1696958864936207</v>
      </c>
      <c r="H147" s="266">
        <v>0.91819442916849991</v>
      </c>
      <c r="I147" s="266">
        <v>0.8217004789445147</v>
      </c>
      <c r="J147" s="266">
        <v>0.17829952105548527</v>
      </c>
      <c r="K147" s="266">
        <v>5.5020897492300921E-2</v>
      </c>
      <c r="L147" s="266">
        <v>1.0070666520017597E-3</v>
      </c>
      <c r="M147" s="266">
        <v>0.48799386006440953</v>
      </c>
      <c r="N147" s="266">
        <v>6.5947781154063233E-3</v>
      </c>
      <c r="O147" s="163">
        <v>1251.328842013188</v>
      </c>
      <c r="P147" s="264">
        <v>1.1435092496196044</v>
      </c>
      <c r="S147" s="266"/>
    </row>
    <row r="148" spans="2:19" x14ac:dyDescent="0.2">
      <c r="B148" t="s">
        <v>529</v>
      </c>
      <c r="C148" s="266">
        <v>1.1237388400319535E-2</v>
      </c>
      <c r="D148" s="266">
        <v>0</v>
      </c>
      <c r="E148" s="266">
        <v>0.79535247969395395</v>
      </c>
      <c r="F148" s="266">
        <v>1.502921159870263</v>
      </c>
      <c r="G148" s="266">
        <v>0.34437460150250881</v>
      </c>
      <c r="H148" s="266">
        <v>0.74497203587170457</v>
      </c>
      <c r="I148" s="266">
        <v>0.88671661897816723</v>
      </c>
      <c r="J148" s="266">
        <v>0.1132833810218328</v>
      </c>
      <c r="K148" s="266">
        <v>2.8906661491974607E-2</v>
      </c>
      <c r="L148" s="266">
        <v>2.9069525684029606E-2</v>
      </c>
      <c r="M148" s="266">
        <v>0.57458266211559372</v>
      </c>
      <c r="N148" s="266">
        <v>-2.6124128161093739E-2</v>
      </c>
      <c r="O148" s="163">
        <v>2044.1804566097039</v>
      </c>
      <c r="P148" s="264">
        <v>0.90473157093817458</v>
      </c>
      <c r="S148" s="266"/>
    </row>
    <row r="149" spans="2:19" x14ac:dyDescent="0.2">
      <c r="B149" t="s">
        <v>245</v>
      </c>
      <c r="C149" s="266">
        <v>-1.8636259859764151E-4</v>
      </c>
      <c r="D149" s="266">
        <v>5.1078940180278613E-3</v>
      </c>
      <c r="E149" s="266">
        <v>-7.6099426386233265E-2</v>
      </c>
      <c r="F149" s="266">
        <v>0.41780934170991535</v>
      </c>
      <c r="G149" s="266">
        <v>9.1204588910133846E-2</v>
      </c>
      <c r="H149" s="266">
        <v>-8.7069379950833109E-2</v>
      </c>
      <c r="I149" s="266">
        <v>0.56278827555423305</v>
      </c>
      <c r="J149" s="266">
        <v>0.437211724445767</v>
      </c>
      <c r="K149" s="266">
        <v>2.8735318219065831E-2</v>
      </c>
      <c r="L149" s="266">
        <v>7.1223709369024855E-3</v>
      </c>
      <c r="M149" s="266">
        <v>0.59752602955745748</v>
      </c>
      <c r="N149" s="266">
        <v>-2.0797059868777893E-2</v>
      </c>
      <c r="O149" s="163">
        <v>1371.2736118532912</v>
      </c>
      <c r="P149" s="264">
        <v>2.0960358659745162</v>
      </c>
      <c r="S149" s="266"/>
    </row>
    <row r="150" spans="2:19" x14ac:dyDescent="0.2">
      <c r="B150" t="s">
        <v>447</v>
      </c>
      <c r="C150" s="266">
        <v>7.5531921910038094E-3</v>
      </c>
      <c r="D150" s="266">
        <v>4.1859219074408947E-2</v>
      </c>
      <c r="E150" s="266">
        <v>1.1024614392873886</v>
      </c>
      <c r="F150" s="266">
        <v>6.5649780657692045E-2</v>
      </c>
      <c r="G150" s="266">
        <v>0.72068334337954587</v>
      </c>
      <c r="H150" s="266">
        <v>0.62748157290201578</v>
      </c>
      <c r="I150" s="266">
        <v>0.84639146578410984</v>
      </c>
      <c r="J150" s="266">
        <v>0.15360853421589019</v>
      </c>
      <c r="K150" s="266">
        <v>5.0984528832630095E-3</v>
      </c>
      <c r="L150" s="266">
        <v>1.4711464402920138E-3</v>
      </c>
      <c r="M150" s="266">
        <v>0.50437486295427081</v>
      </c>
      <c r="N150" s="266">
        <v>2.111520411840517E-2</v>
      </c>
      <c r="O150" s="163">
        <v>1603.4121803474586</v>
      </c>
      <c r="P150" s="264">
        <v>0.92571775723817107</v>
      </c>
      <c r="S150" s="266"/>
    </row>
    <row r="151" spans="2:19" x14ac:dyDescent="0.2">
      <c r="B151" t="s">
        <v>364</v>
      </c>
      <c r="C151" s="266">
        <v>0.12450488997555012</v>
      </c>
      <c r="D151" s="266">
        <v>0</v>
      </c>
      <c r="E151" s="266">
        <v>-0.32940658372784321</v>
      </c>
      <c r="F151" s="266">
        <v>0.23692612572938457</v>
      </c>
      <c r="G151" s="266">
        <v>-1.5721677859737972E-2</v>
      </c>
      <c r="H151" s="266">
        <v>-0.29044192447429262</v>
      </c>
      <c r="I151" s="266">
        <v>0.11899292474501516</v>
      </c>
      <c r="J151" s="266">
        <v>0.88100707525498478</v>
      </c>
      <c r="K151" s="266">
        <v>3.1047010899482551E-3</v>
      </c>
      <c r="L151" s="266">
        <v>4.0818011670153032E-2</v>
      </c>
      <c r="M151" s="266">
        <v>0.64244489143682482</v>
      </c>
      <c r="N151" s="266">
        <v>3.3488589625305321E-2</v>
      </c>
      <c r="O151" s="163">
        <v>1336.355259231455</v>
      </c>
      <c r="P151" s="264">
        <v>1.4633204633204633</v>
      </c>
      <c r="S151" s="266"/>
    </row>
    <row r="152" spans="2:19" x14ac:dyDescent="0.2">
      <c r="B152" t="s">
        <v>448</v>
      </c>
      <c r="C152" s="266">
        <v>4.8443857096189827E-2</v>
      </c>
      <c r="D152" s="266">
        <v>7.9442195231668913E-2</v>
      </c>
      <c r="E152" s="266">
        <v>0.2029689608636977</v>
      </c>
      <c r="F152" s="266">
        <v>0.12304693357324936</v>
      </c>
      <c r="G152" s="266">
        <v>0.20239916029389712</v>
      </c>
      <c r="H152" s="266">
        <v>8.2127155495576531E-2</v>
      </c>
      <c r="I152" s="266">
        <v>0.36384247398372138</v>
      </c>
      <c r="J152" s="266">
        <v>0.63615752601627862</v>
      </c>
      <c r="K152" s="266">
        <v>3.2958464537411906E-2</v>
      </c>
      <c r="L152" s="266">
        <v>4.2000299895036737E-2</v>
      </c>
      <c r="M152" s="266">
        <v>0.556212428697623</v>
      </c>
      <c r="N152" s="266">
        <v>2.0334928660049625E-2</v>
      </c>
      <c r="O152" s="163">
        <v>1209.637387776469</v>
      </c>
      <c r="P152" s="264">
        <v>0.80421124129733401</v>
      </c>
      <c r="S152" s="266"/>
    </row>
    <row r="153" spans="2:19" ht="15" x14ac:dyDescent="0.25">
      <c r="B153" t="s">
        <v>321</v>
      </c>
      <c r="C153" s="266">
        <v>1.5521594580183797E-2</v>
      </c>
      <c r="D153" s="266">
        <v>0.10183500151653017</v>
      </c>
      <c r="E153" s="266">
        <v>0.69680391264786168</v>
      </c>
      <c r="F153" s="266">
        <v>3.7079162875341218E-3</v>
      </c>
      <c r="G153" s="266">
        <v>6.3853503184713375E-2</v>
      </c>
      <c r="H153" s="271">
        <v>0.65446701546860775</v>
      </c>
      <c r="I153" s="271">
        <v>0.6711755776690842</v>
      </c>
      <c r="J153" s="266">
        <v>0.32882442233091586</v>
      </c>
      <c r="K153" s="266">
        <v>2.3953594176524113E-2</v>
      </c>
      <c r="L153" s="266">
        <v>-1.1387245981195025E-2</v>
      </c>
      <c r="M153" s="266">
        <v>0.63233632134485462</v>
      </c>
      <c r="N153" s="266">
        <v>2.3960262080698562E-2</v>
      </c>
      <c r="O153" s="163">
        <v>1482.0608520497103</v>
      </c>
      <c r="P153" s="264">
        <v>0.533544081489287</v>
      </c>
      <c r="S153" s="266"/>
    </row>
    <row r="154" spans="2:19" x14ac:dyDescent="0.2">
      <c r="B154" t="s">
        <v>208</v>
      </c>
      <c r="C154" s="266">
        <v>5.4962556945896891E-2</v>
      </c>
      <c r="D154" s="266">
        <v>1.2404793212097154E-5</v>
      </c>
      <c r="E154" s="266">
        <v>0.25810653236410547</v>
      </c>
      <c r="F154" s="266">
        <v>4.563723422730543E-2</v>
      </c>
      <c r="G154" s="266">
        <v>8.4030069218746117E-2</v>
      </c>
      <c r="H154" s="266">
        <v>0.20728285409482222</v>
      </c>
      <c r="I154" s="266">
        <v>0.29144402568906319</v>
      </c>
      <c r="J154" s="266">
        <v>0.70855597431093675</v>
      </c>
      <c r="K154" s="266">
        <v>6.9714937851986011E-3</v>
      </c>
      <c r="L154" s="266">
        <v>7.1023643535862255E-2</v>
      </c>
      <c r="M154" s="266">
        <v>0.60416118551677167</v>
      </c>
      <c r="N154" s="266">
        <v>9.7278989793330769E-3</v>
      </c>
      <c r="O154" s="163">
        <v>1441.5760369058501</v>
      </c>
      <c r="P154" s="264">
        <v>1.244472182596291</v>
      </c>
      <c r="S154" s="266"/>
    </row>
    <row r="155" spans="2:19" x14ac:dyDescent="0.2">
      <c r="B155" t="s">
        <v>322</v>
      </c>
      <c r="C155" s="266">
        <v>5.085869272128337E-2</v>
      </c>
      <c r="D155" s="266">
        <v>3.6229656245796743E-2</v>
      </c>
      <c r="E155" s="266">
        <v>0.25370366812059258</v>
      </c>
      <c r="F155" s="266">
        <v>7.4630593931940895E-2</v>
      </c>
      <c r="G155" s="266">
        <v>0.11019733681763158</v>
      </c>
      <c r="H155" s="266">
        <v>0.1888271237246123</v>
      </c>
      <c r="I155" s="266">
        <v>0.43207983887936996</v>
      </c>
      <c r="J155" s="266">
        <v>0.56792016112063004</v>
      </c>
      <c r="K155" s="266">
        <v>-1.6640086082662413E-2</v>
      </c>
      <c r="L155" s="266">
        <v>1.0354418461656707E-2</v>
      </c>
      <c r="M155" s="266">
        <v>0.62026846505493605</v>
      </c>
      <c r="N155" s="266">
        <v>6.0674551970650494E-3</v>
      </c>
      <c r="O155" s="163">
        <v>1242.8779195293623</v>
      </c>
      <c r="P155" s="264">
        <v>1.0590178802798653</v>
      </c>
      <c r="S155" s="266"/>
    </row>
    <row r="156" spans="2:19" x14ac:dyDescent="0.2">
      <c r="B156" t="s">
        <v>148</v>
      </c>
      <c r="C156" s="266">
        <v>1.1621588619573844E-2</v>
      </c>
      <c r="D156" s="266">
        <v>0.11243155728950002</v>
      </c>
      <c r="E156" s="266">
        <v>0.59990106022958523</v>
      </c>
      <c r="F156" s="266">
        <v>7.850533487739339E-2</v>
      </c>
      <c r="G156" s="266">
        <v>0.10070494586420517</v>
      </c>
      <c r="H156" s="266">
        <v>0.54184938668585492</v>
      </c>
      <c r="I156" s="266">
        <v>0.77533007245044316</v>
      </c>
      <c r="J156" s="266">
        <v>0.22466992754955684</v>
      </c>
      <c r="K156" s="266">
        <v>-2.983371372676883E-2</v>
      </c>
      <c r="L156" s="266">
        <v>3.6157988824303204E-2</v>
      </c>
      <c r="M156" s="266">
        <v>0.66483921883616182</v>
      </c>
      <c r="N156" s="266">
        <v>-9.3382317213421603E-3</v>
      </c>
      <c r="O156" s="163">
        <v>1900.8883514099782</v>
      </c>
      <c r="P156" s="264">
        <v>0.79599266011601755</v>
      </c>
      <c r="S156" s="266"/>
    </row>
    <row r="157" spans="2:19" x14ac:dyDescent="0.2">
      <c r="B157" t="s">
        <v>323</v>
      </c>
      <c r="C157" s="266">
        <v>-7.4649058813142698E-3</v>
      </c>
      <c r="D157" s="266">
        <v>4.6985857256965656E-2</v>
      </c>
      <c r="E157" s="266">
        <v>0.47342949772118592</v>
      </c>
      <c r="F157" s="266">
        <v>0.22263308744068036</v>
      </c>
      <c r="G157" s="266">
        <v>6.0461401118263404E-2</v>
      </c>
      <c r="H157" s="266">
        <v>0.45963632946483107</v>
      </c>
      <c r="I157" s="266">
        <v>0.69214660033387654</v>
      </c>
      <c r="J157" s="266">
        <v>0.30785339966612346</v>
      </c>
      <c r="K157" s="266">
        <v>3.0460931259690831E-2</v>
      </c>
      <c r="L157" s="266">
        <v>-1.5861250763520181E-2</v>
      </c>
      <c r="M157" s="266">
        <v>0.68007677979059633</v>
      </c>
      <c r="N157" s="266">
        <v>1.5291676674408438E-2</v>
      </c>
      <c r="O157" s="163">
        <v>1739.8013149657331</v>
      </c>
      <c r="P157" s="264">
        <v>1.1974931299422353</v>
      </c>
      <c r="S157" s="266"/>
    </row>
    <row r="158" spans="2:19" x14ac:dyDescent="0.2">
      <c r="B158" t="s">
        <v>487</v>
      </c>
      <c r="C158" s="266">
        <v>3.8335653872529664E-2</v>
      </c>
      <c r="D158" s="266">
        <v>9.9899268237860162E-2</v>
      </c>
      <c r="E158" s="266">
        <v>0.41393261794357356</v>
      </c>
      <c r="F158" s="266">
        <v>0.10409503750385028</v>
      </c>
      <c r="G158" s="266">
        <v>0.10807435835532504</v>
      </c>
      <c r="H158" s="266">
        <v>0.35401420234596781</v>
      </c>
      <c r="I158" s="266">
        <v>0.58111732649568171</v>
      </c>
      <c r="J158" s="266">
        <v>0.41888267350431835</v>
      </c>
      <c r="K158" s="266">
        <v>2.2302511634102282E-2</v>
      </c>
      <c r="L158" s="266">
        <v>2.2015301237918432E-2</v>
      </c>
      <c r="M158" s="266">
        <v>0.46985460617905567</v>
      </c>
      <c r="N158" s="266">
        <v>-6.9165327958619783E-3</v>
      </c>
      <c r="O158" s="163">
        <v>1421.9981407381035</v>
      </c>
      <c r="P158" s="264">
        <v>0.86325613549948155</v>
      </c>
      <c r="S158" s="266"/>
    </row>
    <row r="159" spans="2:19" x14ac:dyDescent="0.2">
      <c r="B159" t="s">
        <v>283</v>
      </c>
      <c r="C159" s="266">
        <v>9.0821234323729041E-3</v>
      </c>
      <c r="D159" s="266">
        <v>7.7074191712413018E-2</v>
      </c>
      <c r="E159" s="266">
        <v>0.83929718912368956</v>
      </c>
      <c r="F159" s="266">
        <v>6.0541245157618377E-2</v>
      </c>
      <c r="G159" s="266">
        <v>0.22389703857381535</v>
      </c>
      <c r="H159" s="266">
        <v>0.69655112269814745</v>
      </c>
      <c r="I159" s="266">
        <v>0.65572308556140901</v>
      </c>
      <c r="J159" s="266">
        <v>0.34427691443859099</v>
      </c>
      <c r="K159" s="266">
        <v>1.3255732829052454E-2</v>
      </c>
      <c r="L159" s="266">
        <v>-2.6690473130519398E-3</v>
      </c>
      <c r="M159" s="266">
        <v>0.554077260054054</v>
      </c>
      <c r="N159" s="266">
        <v>-4.4170020375544402E-3</v>
      </c>
      <c r="O159" s="163">
        <v>1601.4799967541687</v>
      </c>
      <c r="P159" s="264">
        <v>0.55542390731964186</v>
      </c>
      <c r="S159" s="266"/>
    </row>
    <row r="160" spans="2:19" x14ac:dyDescent="0.2">
      <c r="B160" t="s">
        <v>324</v>
      </c>
      <c r="C160" s="266">
        <v>3.1739238496616604E-3</v>
      </c>
      <c r="D160" s="266">
        <v>0</v>
      </c>
      <c r="E160" s="266">
        <v>-0.83078849392784326</v>
      </c>
      <c r="F160" s="266">
        <v>0.34951467068522296</v>
      </c>
      <c r="G160" s="266">
        <v>2.9596223739030227E-2</v>
      </c>
      <c r="H160" s="266">
        <v>-0.80867620335076673</v>
      </c>
      <c r="I160" s="266">
        <v>9.2213100954253738E-2</v>
      </c>
      <c r="J160" s="266">
        <v>0.90778689904574628</v>
      </c>
      <c r="K160" s="266">
        <v>3.6621310167538342E-2</v>
      </c>
      <c r="L160" s="266">
        <v>-8.5708270543391543E-3</v>
      </c>
      <c r="M160" s="266">
        <v>0.67261325673204464</v>
      </c>
      <c r="N160" s="266">
        <v>7.814815007749755E-2</v>
      </c>
      <c r="O160" s="163">
        <v>1327.4424650780609</v>
      </c>
      <c r="P160" s="264">
        <v>2.5003296944831122</v>
      </c>
      <c r="S160" s="266"/>
    </row>
    <row r="161" spans="2:19" x14ac:dyDescent="0.2">
      <c r="B161" t="s">
        <v>405</v>
      </c>
      <c r="C161" s="266">
        <v>1.1312603183594864E-2</v>
      </c>
      <c r="D161" s="266">
        <v>7.6082210831002084E-2</v>
      </c>
      <c r="E161" s="266">
        <v>0.58006823951747222</v>
      </c>
      <c r="F161" s="266">
        <v>2.1086334308953607E-2</v>
      </c>
      <c r="G161" s="266">
        <v>0.11786678740641322</v>
      </c>
      <c r="H161" s="266">
        <v>0.5036278520722498</v>
      </c>
      <c r="I161" s="266">
        <v>0.63693240926606987</v>
      </c>
      <c r="J161" s="266">
        <v>0.36306759073393019</v>
      </c>
      <c r="K161" s="266">
        <v>-8.5784511893404053E-2</v>
      </c>
      <c r="L161" s="266">
        <v>-8.1539755178603197E-3</v>
      </c>
      <c r="M161" s="266">
        <v>0.72030017026572335</v>
      </c>
      <c r="N161" s="266">
        <v>1.9260769379208367E-2</v>
      </c>
      <c r="O161" s="163">
        <v>1428.4914335766423</v>
      </c>
      <c r="P161" s="264">
        <v>0.62273671712674383</v>
      </c>
      <c r="S161" s="266"/>
    </row>
    <row r="162" spans="2:19" x14ac:dyDescent="0.2">
      <c r="B162" t="s">
        <v>284</v>
      </c>
      <c r="C162" s="266">
        <v>-1.3266019264260794E-2</v>
      </c>
      <c r="D162" s="266">
        <v>1.5327903289197285E-2</v>
      </c>
      <c r="E162" s="266">
        <v>1.6561182864190168E-2</v>
      </c>
      <c r="F162" s="266">
        <v>0.24982720533427297</v>
      </c>
      <c r="G162" s="266">
        <v>-2.9002398796535976E-3</v>
      </c>
      <c r="H162" s="266">
        <v>4.8483608223670836E-2</v>
      </c>
      <c r="I162" s="266">
        <v>0.45112964310367343</v>
      </c>
      <c r="J162" s="266">
        <v>0.54887035689632657</v>
      </c>
      <c r="K162" s="266">
        <v>-1.1750037269437706E-2</v>
      </c>
      <c r="L162" s="266">
        <v>-2.7647146516324012E-2</v>
      </c>
      <c r="M162" s="266">
        <v>0.6555519727039989</v>
      </c>
      <c r="N162" s="266">
        <v>3.3323197029578921E-2</v>
      </c>
      <c r="O162" s="163">
        <v>1391.97681225516</v>
      </c>
      <c r="P162" s="264">
        <v>2.6498661497276839</v>
      </c>
      <c r="S162" s="266"/>
    </row>
    <row r="163" spans="2:19" x14ac:dyDescent="0.2">
      <c r="B163" t="s">
        <v>365</v>
      </c>
      <c r="C163" s="266">
        <v>-1.3869718751680499E-2</v>
      </c>
      <c r="D163" s="266">
        <v>0</v>
      </c>
      <c r="E163" s="266">
        <v>0.71060801090330883</v>
      </c>
      <c r="F163" s="266">
        <v>9.9852351025971078E-2</v>
      </c>
      <c r="G163" s="266">
        <v>0.13422806087680775</v>
      </c>
      <c r="H163" s="266">
        <v>0.63265749223896417</v>
      </c>
      <c r="I163" s="266">
        <v>0.70068612391193041</v>
      </c>
      <c r="J163" s="266">
        <v>0.29931387608806964</v>
      </c>
      <c r="K163" s="266">
        <v>-8.8967971530249106E-4</v>
      </c>
      <c r="L163" s="266">
        <v>4.6357991973953204E-2</v>
      </c>
      <c r="M163" s="266">
        <v>0.55488434496943595</v>
      </c>
      <c r="N163" s="266">
        <v>2.875781995139113E-2</v>
      </c>
      <c r="O163" s="163">
        <v>1291.383947378398</v>
      </c>
      <c r="P163" s="264">
        <v>2.4008063003937745</v>
      </c>
      <c r="S163" s="266"/>
    </row>
    <row r="164" spans="2:19" x14ac:dyDescent="0.2">
      <c r="B164" t="s">
        <v>209</v>
      </c>
      <c r="C164" s="266">
        <v>-5.6354500006425825E-3</v>
      </c>
      <c r="D164" s="266">
        <v>1.7304608346489975E-2</v>
      </c>
      <c r="E164" s="266">
        <v>0.85562088984473095</v>
      </c>
      <c r="F164" s="266">
        <v>5.5531383249835281E-2</v>
      </c>
      <c r="G164" s="266">
        <v>0.29590631643067589</v>
      </c>
      <c r="H164" s="266">
        <v>0.66402742382615831</v>
      </c>
      <c r="I164" s="266">
        <v>0.74115929345787712</v>
      </c>
      <c r="J164" s="266">
        <v>0.25884070654212282</v>
      </c>
      <c r="K164" s="266">
        <v>2.4974826270185602E-2</v>
      </c>
      <c r="L164" s="266">
        <v>5.2962730448403175E-2</v>
      </c>
      <c r="M164" s="266">
        <v>0.53667431469274751</v>
      </c>
      <c r="N164" s="266">
        <v>8.8086474142339381E-3</v>
      </c>
      <c r="O164" s="163">
        <v>1515.7085786647369</v>
      </c>
      <c r="P164" s="264">
        <v>0.76921552305069962</v>
      </c>
      <c r="S164" s="266"/>
    </row>
    <row r="165" spans="2:19" x14ac:dyDescent="0.2">
      <c r="B165" t="s">
        <v>406</v>
      </c>
      <c r="C165" s="266">
        <v>7.9789544964008599E-2</v>
      </c>
      <c r="D165" s="266">
        <v>9.3177119228118541E-2</v>
      </c>
      <c r="E165" s="266">
        <v>0.9323225361819435</v>
      </c>
      <c r="F165" s="266">
        <v>0.11037215713301171</v>
      </c>
      <c r="G165" s="266">
        <v>0.27529290144727775</v>
      </c>
      <c r="H165" s="266">
        <v>0.76112095106822875</v>
      </c>
      <c r="I165" s="266">
        <v>0.5898180310021256</v>
      </c>
      <c r="J165" s="266">
        <v>0.41018196899787446</v>
      </c>
      <c r="K165" s="266">
        <v>2.598208132322536E-2</v>
      </c>
      <c r="L165" s="266">
        <v>0.1140420399724328</v>
      </c>
      <c r="M165" s="266">
        <v>0.5207348803651638</v>
      </c>
      <c r="N165" s="266">
        <v>1.3422652637193413E-2</v>
      </c>
      <c r="O165" s="163">
        <v>1417.8767844690967</v>
      </c>
      <c r="P165" s="264">
        <v>0.61285216840772394</v>
      </c>
      <c r="S165" s="266"/>
    </row>
    <row r="166" spans="2:19" x14ac:dyDescent="0.2">
      <c r="B166" t="s">
        <v>366</v>
      </c>
      <c r="C166" s="266">
        <v>4.4557379926815105E-2</v>
      </c>
      <c r="D166" s="266">
        <v>6.2360468451839013E-2</v>
      </c>
      <c r="E166" s="266">
        <v>0.70410581324286903</v>
      </c>
      <c r="F166" s="266">
        <v>9.3528230584068145E-2</v>
      </c>
      <c r="G166" s="266">
        <v>0.27578917172825801</v>
      </c>
      <c r="H166" s="266">
        <v>0.53055045585502425</v>
      </c>
      <c r="I166" s="266">
        <v>0.62176153417996427</v>
      </c>
      <c r="J166" s="266">
        <v>0.37823846582003573</v>
      </c>
      <c r="K166" s="266">
        <v>-3.3238129684830192E-3</v>
      </c>
      <c r="L166" s="266">
        <v>4.8832923832923834E-2</v>
      </c>
      <c r="M166" s="266">
        <v>0.55263909766711738</v>
      </c>
      <c r="N166" s="266">
        <v>2.9929669098646441E-2</v>
      </c>
      <c r="O166" s="163">
        <v>1430.9761810181885</v>
      </c>
      <c r="P166" s="264">
        <v>0.97520996235157831</v>
      </c>
      <c r="S166" s="266"/>
    </row>
    <row r="167" spans="2:19" ht="15" x14ac:dyDescent="0.25">
      <c r="B167" t="s">
        <v>488</v>
      </c>
      <c r="C167" s="266">
        <v>1.9220874258206889E-2</v>
      </c>
      <c r="D167" s="271">
        <v>5.1806760782282087E-2</v>
      </c>
      <c r="E167" s="271">
        <v>0.38184398281367021</v>
      </c>
      <c r="F167" s="271">
        <v>0.16918849214170276</v>
      </c>
      <c r="G167" s="271">
        <v>3.8123018532179318E-3</v>
      </c>
      <c r="H167" s="271">
        <v>0.39959235962901851</v>
      </c>
      <c r="I167" s="271">
        <v>0.7202872662760853</v>
      </c>
      <c r="J167" s="271">
        <v>0.2797127337239147</v>
      </c>
      <c r="K167" s="271">
        <v>-4.8202812206123331E-2</v>
      </c>
      <c r="L167" s="271">
        <v>-6.0014190547518628E-3</v>
      </c>
      <c r="M167" s="271">
        <v>0.73495995995182539</v>
      </c>
      <c r="N167" s="271">
        <v>-5.4182102538579045E-2</v>
      </c>
      <c r="O167" s="272">
        <v>1866.5878021499761</v>
      </c>
      <c r="P167" s="264">
        <v>0.60368266055864594</v>
      </c>
      <c r="S167" s="266"/>
    </row>
    <row r="168" spans="2:19" x14ac:dyDescent="0.2">
      <c r="B168" t="s">
        <v>325</v>
      </c>
      <c r="C168" s="266">
        <v>6.9544881119883812E-3</v>
      </c>
      <c r="D168" s="266">
        <v>9.5906294833244896E-3</v>
      </c>
      <c r="E168" s="266">
        <v>6.3184167600180807E-2</v>
      </c>
      <c r="F168" s="266">
        <v>5.268950337047737E-2</v>
      </c>
      <c r="G168" s="266">
        <v>6.9767898905331843E-3</v>
      </c>
      <c r="H168" s="266">
        <v>6.4832458777980856E-2</v>
      </c>
      <c r="I168" s="266">
        <v>0.22304315102860009</v>
      </c>
      <c r="J168" s="266">
        <v>0.77695684897139994</v>
      </c>
      <c r="K168" s="266">
        <v>1.1261128471198633E-2</v>
      </c>
      <c r="L168" s="266">
        <v>6.5100328203918792E-3</v>
      </c>
      <c r="M168" s="266">
        <v>0.51530768347581357</v>
      </c>
      <c r="N168" s="266">
        <v>3.5674302731346537E-2</v>
      </c>
      <c r="O168" s="163">
        <v>3091.1345568932038</v>
      </c>
      <c r="P168" s="264">
        <v>1.6465779994458298</v>
      </c>
      <c r="S168" s="266"/>
    </row>
    <row r="169" spans="2:19" ht="15" x14ac:dyDescent="0.25">
      <c r="B169" t="s">
        <v>517</v>
      </c>
      <c r="C169" s="266">
        <v>6.9070598031714314E-3</v>
      </c>
      <c r="D169" s="271">
        <v>0</v>
      </c>
      <c r="E169" s="271">
        <v>0.45879677141985409</v>
      </c>
      <c r="F169" s="271">
        <v>0.1008792610878429</v>
      </c>
      <c r="G169" s="271">
        <v>7.3225529082184566E-3</v>
      </c>
      <c r="H169" s="271">
        <v>0.46599617230188889</v>
      </c>
      <c r="I169" s="271">
        <v>0.65982721382289422</v>
      </c>
      <c r="J169" s="271">
        <v>0.34017278617710583</v>
      </c>
      <c r="K169" s="271">
        <v>0.13039136826339001</v>
      </c>
      <c r="L169" s="271">
        <v>2.3299031980695086E-3</v>
      </c>
      <c r="M169" s="271">
        <v>0.73575080239254631</v>
      </c>
      <c r="N169" s="271">
        <v>-1.5139586122663129E-3</v>
      </c>
      <c r="O169" s="272">
        <v>726.69443627668056</v>
      </c>
      <c r="P169" s="264">
        <v>1.2818086225026288</v>
      </c>
      <c r="S169" s="266"/>
    </row>
    <row r="170" spans="2:19" x14ac:dyDescent="0.2">
      <c r="B170" t="s">
        <v>367</v>
      </c>
      <c r="C170" s="266">
        <v>-3.3157667462744445E-3</v>
      </c>
      <c r="D170" s="266">
        <v>5.7691420131997968E-2</v>
      </c>
      <c r="E170" s="266">
        <v>0.16176674205012231</v>
      </c>
      <c r="F170" s="266">
        <v>1.0153689943231642E-3</v>
      </c>
      <c r="G170" s="266">
        <v>1.8184335625605761E-2</v>
      </c>
      <c r="H170" s="266">
        <v>0.14970508146028522</v>
      </c>
      <c r="I170" s="266">
        <v>0.4541434953049503</v>
      </c>
      <c r="J170" s="266">
        <v>0.54585650469504965</v>
      </c>
      <c r="K170" s="266">
        <v>0.10153689943231643</v>
      </c>
      <c r="L170" s="266">
        <v>1.0707527576498822E-2</v>
      </c>
      <c r="M170" s="266">
        <v>0.61518233670323264</v>
      </c>
      <c r="N170" s="266">
        <v>1.6603891884300857E-2</v>
      </c>
      <c r="O170" s="163">
        <v>1291.4353021727225</v>
      </c>
      <c r="P170" s="264">
        <v>1.8885523924894003</v>
      </c>
      <c r="S170" s="266"/>
    </row>
    <row r="171" spans="2:19" x14ac:dyDescent="0.2">
      <c r="B171" t="s">
        <v>368</v>
      </c>
      <c r="C171" s="266">
        <v>8.1573410224438897E-2</v>
      </c>
      <c r="D171" s="266">
        <v>7.4146572945398462E-2</v>
      </c>
      <c r="E171" s="266">
        <v>0.35559213453154193</v>
      </c>
      <c r="F171" s="266">
        <v>0.3223299819082362</v>
      </c>
      <c r="G171" s="266">
        <v>-9.9059821455052353E-3</v>
      </c>
      <c r="H171" s="266">
        <v>0.40090874039801877</v>
      </c>
      <c r="I171" s="266">
        <v>0.6353178765090487</v>
      </c>
      <c r="J171" s="266">
        <v>0.3646821234909513</v>
      </c>
      <c r="K171" s="266">
        <v>7.7586973930064959E-2</v>
      </c>
      <c r="L171" s="266">
        <v>7.9018002787911143E-2</v>
      </c>
      <c r="M171" s="266">
        <v>0.65711254081018911</v>
      </c>
      <c r="N171" s="266">
        <v>1.6755507821455205E-3</v>
      </c>
      <c r="O171" s="163">
        <v>1388.3016918905935</v>
      </c>
      <c r="P171" s="264">
        <v>0.86667181347950284</v>
      </c>
      <c r="S171" s="266"/>
    </row>
    <row r="172" spans="2:19" x14ac:dyDescent="0.2">
      <c r="B172" t="s">
        <v>567</v>
      </c>
      <c r="C172" s="266">
        <v>6.3929499675113716E-2</v>
      </c>
      <c r="D172" s="266">
        <v>7.9207920792079214E-6</v>
      </c>
      <c r="E172" s="266">
        <v>0.35700594059405938</v>
      </c>
      <c r="F172" s="266">
        <v>2.8396039603960397E-2</v>
      </c>
      <c r="G172" s="266">
        <v>0.11004356435643564</v>
      </c>
      <c r="H172" s="266">
        <v>0.28668427722772272</v>
      </c>
      <c r="I172" s="266">
        <v>0.45544421318491146</v>
      </c>
      <c r="J172" s="266">
        <v>0.54455578681508854</v>
      </c>
      <c r="K172" s="266">
        <v>-2.8673267326732674E-3</v>
      </c>
      <c r="L172" s="266">
        <v>7.4095049504950494E-2</v>
      </c>
      <c r="M172" s="266">
        <v>0.61849834642422385</v>
      </c>
      <c r="N172" s="266">
        <v>6.6152336995222594E-3</v>
      </c>
      <c r="O172" s="163">
        <v>1738.0400496215002</v>
      </c>
      <c r="P172" s="264">
        <v>1.7808504082575873</v>
      </c>
      <c r="S172" s="266"/>
    </row>
    <row r="173" spans="2:19" x14ac:dyDescent="0.2">
      <c r="B173" t="s">
        <v>449</v>
      </c>
      <c r="C173" s="266">
        <v>8.7990803340791651E-2</v>
      </c>
      <c r="D173" s="266">
        <v>0.16266510508165788</v>
      </c>
      <c r="E173" s="266">
        <v>0.54674995120046843</v>
      </c>
      <c r="F173" s="266">
        <v>9.9984817923525718E-2</v>
      </c>
      <c r="G173" s="266">
        <v>0.63920879692888277</v>
      </c>
      <c r="H173" s="266">
        <v>0.13047823540893999</v>
      </c>
      <c r="I173" s="266">
        <v>0.43300699300699302</v>
      </c>
      <c r="J173" s="266">
        <v>0.56699300699300703</v>
      </c>
      <c r="K173" s="266">
        <v>3.2793285184462229E-2</v>
      </c>
      <c r="L173" s="266">
        <v>4.6392087969288828E-2</v>
      </c>
      <c r="M173" s="266">
        <v>0.62014110933931943</v>
      </c>
      <c r="N173" s="266">
        <v>2.8032681985197629E-2</v>
      </c>
      <c r="O173" s="163">
        <v>1262.9008945089997</v>
      </c>
      <c r="P173" s="264">
        <v>0.68650114155251141</v>
      </c>
      <c r="S173" s="266"/>
    </row>
    <row r="174" spans="2:19" x14ac:dyDescent="0.2">
      <c r="B174" t="s">
        <v>450</v>
      </c>
      <c r="C174" s="266">
        <v>6.009593964416194E-2</v>
      </c>
      <c r="D174" s="266">
        <v>5.7015793374764812E-2</v>
      </c>
      <c r="E174" s="266">
        <v>0.16061348993671246</v>
      </c>
      <c r="F174" s="266">
        <v>2.7282057129824962E-2</v>
      </c>
      <c r="G174" s="266">
        <v>0.42941444780204119</v>
      </c>
      <c r="H174" s="266">
        <v>-0.12382034323507618</v>
      </c>
      <c r="I174" s="266">
        <v>0.27091210613598671</v>
      </c>
      <c r="J174" s="266">
        <v>0.72908789386401329</v>
      </c>
      <c r="K174" s="266">
        <v>7.1269741718456014E-3</v>
      </c>
      <c r="L174" s="266">
        <v>3.5335537944010488E-2</v>
      </c>
      <c r="M174" s="266">
        <v>0.5609156561230676</v>
      </c>
      <c r="N174" s="266">
        <v>1.2584213795705601E-2</v>
      </c>
      <c r="O174" s="163">
        <v>1589.8025905856239</v>
      </c>
      <c r="P174" s="264">
        <v>0.96736158578263842</v>
      </c>
      <c r="S174" s="266"/>
    </row>
    <row r="175" spans="2:19" ht="15" x14ac:dyDescent="0.25">
      <c r="B175" t="s">
        <v>489</v>
      </c>
      <c r="C175" s="266">
        <v>3.2546769172974041E-2</v>
      </c>
      <c r="D175" s="271">
        <v>6.3555334599882815E-2</v>
      </c>
      <c r="E175" s="271">
        <v>-4.1254594201097283E-2</v>
      </c>
      <c r="F175" s="271">
        <v>4.2879210241295429E-2</v>
      </c>
      <c r="G175" s="271">
        <v>2.7698371832886488E-3</v>
      </c>
      <c r="H175" s="271">
        <v>-3.7964879884945221E-2</v>
      </c>
      <c r="I175" s="271">
        <v>0.28933874823378863</v>
      </c>
      <c r="J175" s="271">
        <v>0.71066125176621142</v>
      </c>
      <c r="K175" s="271">
        <v>-1.3689387617407362E-2</v>
      </c>
      <c r="L175" s="271">
        <v>4.8059338435041989E-2</v>
      </c>
      <c r="M175" s="271">
        <v>0.73373036275007686</v>
      </c>
      <c r="N175" s="271">
        <v>-1.2037167420749473E-2</v>
      </c>
      <c r="O175" s="272">
        <v>1688.6889767603191</v>
      </c>
      <c r="P175" s="264">
        <v>0.77105333215014638</v>
      </c>
      <c r="S175" s="266"/>
    </row>
    <row r="176" spans="2:19" x14ac:dyDescent="0.2">
      <c r="B176" t="s">
        <v>326</v>
      </c>
      <c r="C176" s="266">
        <v>6.446898343618058E-3</v>
      </c>
      <c r="D176" s="266">
        <v>4.397484877427571E-2</v>
      </c>
      <c r="E176" s="266">
        <v>0.16260744985673353</v>
      </c>
      <c r="F176" s="266">
        <v>1.59582935370901E-2</v>
      </c>
      <c r="G176" s="266">
        <v>-8.7870105062082135E-2</v>
      </c>
      <c r="H176" s="266">
        <v>0.22339541547277939</v>
      </c>
      <c r="I176" s="266">
        <v>0.54786752939539418</v>
      </c>
      <c r="J176" s="266">
        <v>0.45213247060460587</v>
      </c>
      <c r="K176" s="266">
        <v>1.5281757402101241E-2</v>
      </c>
      <c r="L176" s="266">
        <v>-2.0196593441579114E-3</v>
      </c>
      <c r="M176" s="266">
        <v>0.50371195128517043</v>
      </c>
      <c r="N176" s="266">
        <v>3.8945888375264595E-2</v>
      </c>
      <c r="O176" s="163">
        <v>1167.2050945874003</v>
      </c>
      <c r="P176" s="264">
        <v>2.4219354838709677</v>
      </c>
      <c r="S176" s="266"/>
    </row>
    <row r="177" spans="2:19" ht="15" x14ac:dyDescent="0.25">
      <c r="B177" t="s">
        <v>327</v>
      </c>
      <c r="C177" s="266">
        <v>1.2712127322929917E-2</v>
      </c>
      <c r="D177" s="266">
        <v>0.1372681228733163</v>
      </c>
      <c r="E177" s="266">
        <v>1.1223715365436784</v>
      </c>
      <c r="F177" s="266">
        <v>7.5094475718564285E-2</v>
      </c>
      <c r="G177" s="266">
        <v>0.50842833173913726</v>
      </c>
      <c r="H177" s="271">
        <v>0.79073589136468403</v>
      </c>
      <c r="I177" s="271">
        <v>0.7432710970645322</v>
      </c>
      <c r="J177" s="266">
        <v>0.2567289029354678</v>
      </c>
      <c r="K177" s="266">
        <v>-2.4446082197795305E-2</v>
      </c>
      <c r="L177" s="266">
        <v>2.6210151631568219E-2</v>
      </c>
      <c r="M177" s="266">
        <v>0.51722193472556821</v>
      </c>
      <c r="N177" s="266">
        <v>2.4145984399837839E-2</v>
      </c>
      <c r="O177" s="163">
        <v>1217.0206583140209</v>
      </c>
      <c r="P177" s="264">
        <v>0.49960734269166585</v>
      </c>
      <c r="S177" s="266"/>
    </row>
    <row r="178" spans="2:19" x14ac:dyDescent="0.2">
      <c r="B178" t="s">
        <v>369</v>
      </c>
      <c r="C178" s="266">
        <v>3.7764026446883698E-3</v>
      </c>
      <c r="D178" s="266">
        <v>5.9592269690775711E-2</v>
      </c>
      <c r="E178" s="266">
        <v>1.6812409494240408</v>
      </c>
      <c r="F178" s="266">
        <v>2.7507791689262068E-2</v>
      </c>
      <c r="G178" s="266">
        <v>1.0617733467614581</v>
      </c>
      <c r="H178" s="266">
        <v>0.97315374209657535</v>
      </c>
      <c r="I178" s="266">
        <v>0.73788913382439913</v>
      </c>
      <c r="J178" s="266">
        <v>0.26211086617560087</v>
      </c>
      <c r="K178" s="266">
        <v>0.1232844875362768</v>
      </c>
      <c r="L178" s="266">
        <v>2.4897650276806092E-2</v>
      </c>
      <c r="M178" s="266">
        <v>0.38433435566754043</v>
      </c>
      <c r="N178" s="266">
        <v>-8.518640411905528E-3</v>
      </c>
      <c r="O178" s="163">
        <v>1162.2454347898433</v>
      </c>
      <c r="P178" s="264">
        <v>0.66984343090537779</v>
      </c>
      <c r="S178" s="266"/>
    </row>
    <row r="179" spans="2:19" x14ac:dyDescent="0.2">
      <c r="B179" t="s">
        <v>328</v>
      </c>
      <c r="C179" s="266">
        <v>5.1195760940196303E-2</v>
      </c>
      <c r="D179" s="266">
        <v>0.20942211912396808</v>
      </c>
      <c r="E179" s="266">
        <v>0.34908234973050417</v>
      </c>
      <c r="F179" s="266">
        <v>0.26011462100020466</v>
      </c>
      <c r="G179" s="266">
        <v>-8.8353687657774446E-3</v>
      </c>
      <c r="H179" s="266">
        <v>0.38621580132359962</v>
      </c>
      <c r="I179" s="266">
        <v>0.72936746312816603</v>
      </c>
      <c r="J179" s="266">
        <v>0.27063253687183397</v>
      </c>
      <c r="K179" s="266">
        <v>-2.108207682336085E-2</v>
      </c>
      <c r="L179" s="266">
        <v>1.2946032612403629E-2</v>
      </c>
      <c r="M179" s="266">
        <v>0.39425379860567195</v>
      </c>
      <c r="N179" s="266">
        <v>7.3935101589399865E-2</v>
      </c>
      <c r="O179" s="163">
        <v>1590.2646298133286</v>
      </c>
      <c r="P179" s="264">
        <v>1.278177694507445</v>
      </c>
      <c r="S179" s="266"/>
    </row>
    <row r="180" spans="2:19" ht="15" x14ac:dyDescent="0.25">
      <c r="B180" t="s">
        <v>166</v>
      </c>
      <c r="C180" s="266">
        <v>2.2932859047833619E-2</v>
      </c>
      <c r="D180" s="271">
        <v>1.9576236276037468E-2</v>
      </c>
      <c r="E180" s="271">
        <v>1.5393763544856984</v>
      </c>
      <c r="F180" s="271">
        <v>5.2298819694445936E-3</v>
      </c>
      <c r="G180" s="271">
        <v>0.46981176007020936</v>
      </c>
      <c r="H180" s="271">
        <v>1.2252300610749915</v>
      </c>
      <c r="I180" s="271">
        <v>0.90288432483014747</v>
      </c>
      <c r="J180" s="271">
        <v>9.7115675169852519E-2</v>
      </c>
      <c r="K180" s="271">
        <v>7.092579657191983E-3</v>
      </c>
      <c r="L180" s="271">
        <v>4.6737592463238588E-2</v>
      </c>
      <c r="M180" s="271">
        <v>0.63331175018937802</v>
      </c>
      <c r="N180" s="271">
        <v>-5.9728545483730021E-3</v>
      </c>
      <c r="O180" s="272">
        <v>1497.168161270617</v>
      </c>
      <c r="P180" s="264">
        <v>0.64375000000000004</v>
      </c>
      <c r="S180" s="266"/>
    </row>
    <row r="181" spans="2:19" x14ac:dyDescent="0.2">
      <c r="B181" t="s">
        <v>370</v>
      </c>
      <c r="C181" s="266">
        <v>-8.5042499741904403E-3</v>
      </c>
      <c r="D181" s="266">
        <v>0.141503684414649</v>
      </c>
      <c r="E181" s="266">
        <v>0.69950320424030876</v>
      </c>
      <c r="F181" s="266">
        <v>3.6677932295418027E-2</v>
      </c>
      <c r="G181" s="266">
        <v>0.38842410475187916</v>
      </c>
      <c r="H181" s="266">
        <v>0.4436604059319999</v>
      </c>
      <c r="I181" s="266">
        <v>0.6293392332673472</v>
      </c>
      <c r="J181" s="266">
        <v>0.37066076673265275</v>
      </c>
      <c r="K181" s="266">
        <v>3.4350933569726856E-2</v>
      </c>
      <c r="L181" s="266">
        <v>4.9864258407668013E-4</v>
      </c>
      <c r="M181" s="266">
        <v>0.6377662980154627</v>
      </c>
      <c r="N181" s="266">
        <v>-1.6601232546724288E-2</v>
      </c>
      <c r="O181" s="163">
        <v>1506.970871083473</v>
      </c>
      <c r="P181" s="264">
        <v>0.57665528113504994</v>
      </c>
      <c r="S181" s="266"/>
    </row>
    <row r="182" spans="2:19" x14ac:dyDescent="0.2">
      <c r="B182" t="s">
        <v>187</v>
      </c>
      <c r="C182" s="266">
        <v>4.9544714420469961E-2</v>
      </c>
      <c r="D182" s="266">
        <v>1.7704537392369959E-2</v>
      </c>
      <c r="E182" s="266">
        <v>0.77019764660354773</v>
      </c>
      <c r="F182" s="266">
        <v>1.3333889781524529E-2</v>
      </c>
      <c r="G182" s="266">
        <v>0.25813568356814814</v>
      </c>
      <c r="H182" s="266">
        <v>0.59884680538667145</v>
      </c>
      <c r="I182" s="266">
        <v>0.83109087175040364</v>
      </c>
      <c r="J182" s="266">
        <v>0.16890912824959639</v>
      </c>
      <c r="K182" s="266">
        <v>-1.7753858936589567E-2</v>
      </c>
      <c r="L182" s="266">
        <v>3.5557399448842987E-2</v>
      </c>
      <c r="M182" s="266">
        <v>0.67481807432263319</v>
      </c>
      <c r="N182" s="266">
        <v>-2.3886258653019053E-2</v>
      </c>
      <c r="O182" s="163">
        <v>2101.8913465519622</v>
      </c>
      <c r="P182" s="264">
        <v>1.6946178486700412</v>
      </c>
      <c r="S182" s="266"/>
    </row>
    <row r="183" spans="2:19" x14ac:dyDescent="0.2">
      <c r="B183" t="s">
        <v>371</v>
      </c>
      <c r="C183" s="266">
        <v>-3.6996367804920598E-2</v>
      </c>
      <c r="D183" s="266">
        <v>0.14781137188699214</v>
      </c>
      <c r="E183" s="266">
        <v>0.50395429955164972</v>
      </c>
      <c r="F183" s="266">
        <v>1.6591196731735362E-2</v>
      </c>
      <c r="G183" s="266">
        <v>2.6636925620976377E-2</v>
      </c>
      <c r="H183" s="266">
        <v>0.48809850299340379</v>
      </c>
      <c r="I183" s="266">
        <v>0.43387707308650103</v>
      </c>
      <c r="J183" s="266">
        <v>0.56612292691349897</v>
      </c>
      <c r="K183" s="266">
        <v>-8.3677163386822531E-3</v>
      </c>
      <c r="L183" s="266">
        <v>1.3394135894638689E-2</v>
      </c>
      <c r="M183" s="266">
        <v>0.58044918985156435</v>
      </c>
      <c r="N183" s="266">
        <v>-3.8676951548720362E-2</v>
      </c>
      <c r="O183" s="163">
        <v>2262.7397579029025</v>
      </c>
      <c r="P183" s="264">
        <v>0.4722182101796753</v>
      </c>
      <c r="S183" s="266"/>
    </row>
    <row r="184" spans="2:19" x14ac:dyDescent="0.2">
      <c r="B184" t="s">
        <v>372</v>
      </c>
      <c r="C184" s="266">
        <v>8.4967162449294961E-2</v>
      </c>
      <c r="D184" s="266">
        <v>1.0444855908465082E-3</v>
      </c>
      <c r="E184" s="266">
        <v>0.47031920112677839</v>
      </c>
      <c r="F184" s="266">
        <v>5.9662282992292964E-3</v>
      </c>
      <c r="G184" s="266">
        <v>-1.9781924069062654E-2</v>
      </c>
      <c r="H184" s="266">
        <v>0.48428903764895787</v>
      </c>
      <c r="I184" s="266">
        <v>0.49493515858390469</v>
      </c>
      <c r="J184" s="266">
        <v>0.50506484141609531</v>
      </c>
      <c r="K184" s="266">
        <v>-0.16403171438066752</v>
      </c>
      <c r="L184" s="266">
        <v>1.1200525407903275E-2</v>
      </c>
      <c r="M184" s="266">
        <v>0.62401655949358603</v>
      </c>
      <c r="N184" s="266">
        <v>-1.3132319989336762E-2</v>
      </c>
      <c r="O184" s="163">
        <v>2011.6715330458183</v>
      </c>
      <c r="P184" s="264">
        <v>0.52206203582350375</v>
      </c>
      <c r="S184" s="266"/>
    </row>
    <row r="185" spans="2:19" x14ac:dyDescent="0.2">
      <c r="B185" t="s">
        <v>373</v>
      </c>
      <c r="C185" s="266">
        <v>5.9938566220088953E-2</v>
      </c>
      <c r="D185" s="266">
        <v>1.2568357023883809E-2</v>
      </c>
      <c r="E185" s="266">
        <v>0.4244645673546999</v>
      </c>
      <c r="F185" s="266">
        <v>2.1618753285804833E-4</v>
      </c>
      <c r="G185" s="266">
        <v>0.15407292398551545</v>
      </c>
      <c r="H185" s="266">
        <v>0.32126165078834745</v>
      </c>
      <c r="I185" s="266">
        <v>0.48000414550730647</v>
      </c>
      <c r="J185" s="266">
        <v>0.51999585449269359</v>
      </c>
      <c r="K185" s="266">
        <v>8.7565777513548576E-2</v>
      </c>
      <c r="L185" s="266">
        <v>4.5599601035734814E-2</v>
      </c>
      <c r="M185" s="266">
        <v>0.60817530858671043</v>
      </c>
      <c r="N185" s="266">
        <v>4.5040215250273484E-2</v>
      </c>
      <c r="O185" s="163">
        <v>1609.5147911752092</v>
      </c>
      <c r="P185" s="264">
        <v>0.71957504162372155</v>
      </c>
      <c r="S185" s="266"/>
    </row>
    <row r="186" spans="2:19" x14ac:dyDescent="0.2">
      <c r="B186" t="s">
        <v>513</v>
      </c>
      <c r="C186" s="266">
        <v>2.8012146746223442E-2</v>
      </c>
      <c r="D186" s="266">
        <v>6.0158932600804474E-2</v>
      </c>
      <c r="E186" s="266">
        <v>0.63461983714313741</v>
      </c>
      <c r="F186" s="266">
        <v>6.0527813205140786E-2</v>
      </c>
      <c r="G186" s="266">
        <v>0.3865162366329834</v>
      </c>
      <c r="H186" s="266">
        <v>0.38291729618365544</v>
      </c>
      <c r="I186" s="266">
        <v>0.53243219722953117</v>
      </c>
      <c r="J186" s="266">
        <v>0.46756780277046883</v>
      </c>
      <c r="K186" s="266">
        <v>1.3012851957225548E-2</v>
      </c>
      <c r="L186" s="266">
        <v>2.2413420975179045E-2</v>
      </c>
      <c r="M186" s="266">
        <v>0.70403673792237498</v>
      </c>
      <c r="N186" s="266">
        <v>-3.4847627954436376E-2</v>
      </c>
      <c r="O186" s="163">
        <v>2289.9566789658311</v>
      </c>
      <c r="P186" s="264">
        <v>0.78550894242755742</v>
      </c>
      <c r="S186" s="266"/>
    </row>
    <row r="187" spans="2:19" x14ac:dyDescent="0.2">
      <c r="B187" t="s">
        <v>490</v>
      </c>
      <c r="C187" s="266">
        <v>-2.3395643040902549E-3</v>
      </c>
      <c r="D187" s="266">
        <v>0</v>
      </c>
      <c r="E187" s="266">
        <v>0.31031377035612573</v>
      </c>
      <c r="F187" s="266">
        <v>4.3377717192862882E-2</v>
      </c>
      <c r="G187" s="266">
        <v>7.515639833499671E-2</v>
      </c>
      <c r="H187" s="266">
        <v>0.26516430953482151</v>
      </c>
      <c r="I187" s="266">
        <v>0.50806744357796441</v>
      </c>
      <c r="J187" s="266">
        <v>0.49193255642203559</v>
      </c>
      <c r="K187" s="266">
        <v>1.7660232224142546E-2</v>
      </c>
      <c r="L187" s="266">
        <v>-7.1535503030598089E-3</v>
      </c>
      <c r="M187" s="266">
        <v>0.64483179343333663</v>
      </c>
      <c r="N187" s="266">
        <v>2.6969859178801622E-2</v>
      </c>
      <c r="O187" s="163">
        <v>1422.0272420419417</v>
      </c>
      <c r="P187" s="264">
        <v>1.6199985042255627</v>
      </c>
      <c r="S187" s="266"/>
    </row>
    <row r="188" spans="2:19" x14ac:dyDescent="0.2">
      <c r="B188" t="s">
        <v>285</v>
      </c>
      <c r="C188" s="266">
        <v>1.4398324191540196E-2</v>
      </c>
      <c r="D188" s="266">
        <v>0</v>
      </c>
      <c r="E188" s="266">
        <v>-0.33965297900911723</v>
      </c>
      <c r="F188" s="266">
        <v>2.0920206375008833E-2</v>
      </c>
      <c r="G188" s="266">
        <v>0.19893632058802743</v>
      </c>
      <c r="H188" s="266">
        <v>-0.47042988903809457</v>
      </c>
      <c r="I188" s="266">
        <v>0.18946625208760473</v>
      </c>
      <c r="J188" s="266">
        <v>0.8105337479123953</v>
      </c>
      <c r="K188" s="266">
        <v>-7.7319951940066439E-2</v>
      </c>
      <c r="L188" s="266">
        <v>6.2614849105943879E-2</v>
      </c>
      <c r="M188" s="266">
        <v>0.58764250007839691</v>
      </c>
      <c r="N188" s="266">
        <v>2.1310177209746827E-2</v>
      </c>
      <c r="O188" s="163">
        <v>1188.851058333895</v>
      </c>
      <c r="P188" s="264">
        <v>3.9063492063492062</v>
      </c>
      <c r="S188" s="266"/>
    </row>
    <row r="189" spans="2:19" x14ac:dyDescent="0.2">
      <c r="B189" t="s">
        <v>246</v>
      </c>
      <c r="C189" s="266">
        <v>-1.5231888451045771E-2</v>
      </c>
      <c r="D189" s="266">
        <v>0</v>
      </c>
      <c r="E189" s="266">
        <v>0.47402435993040021</v>
      </c>
      <c r="F189" s="266">
        <v>6.2059822686220893E-2</v>
      </c>
      <c r="G189" s="266">
        <v>0.12693678018062807</v>
      </c>
      <c r="H189" s="266">
        <v>0.39642389593172589</v>
      </c>
      <c r="I189" s="266">
        <v>0.65444204061693068</v>
      </c>
      <c r="J189" s="266">
        <v>0.34555795938306932</v>
      </c>
      <c r="K189" s="266">
        <v>7.0262656392410305E-2</v>
      </c>
      <c r="L189" s="266">
        <v>1.3070676940923025E-2</v>
      </c>
      <c r="M189" s="266">
        <v>0.54580350882808415</v>
      </c>
      <c r="N189" s="266">
        <v>1.6718717831563687E-2</v>
      </c>
      <c r="O189" s="163">
        <v>1335.27302221426</v>
      </c>
      <c r="P189" s="264">
        <v>1.3043965903992822</v>
      </c>
      <c r="S189" s="266"/>
    </row>
    <row r="190" spans="2:19" x14ac:dyDescent="0.2">
      <c r="B190" t="s">
        <v>247</v>
      </c>
      <c r="C190" s="266">
        <v>-1.0185273968954092E-2</v>
      </c>
      <c r="D190" s="266">
        <v>0.11132993399565171</v>
      </c>
      <c r="E190" s="266">
        <v>0.40955844358431887</v>
      </c>
      <c r="F190" s="266">
        <v>8.7326580155797556E-2</v>
      </c>
      <c r="G190" s="266">
        <v>0.10191188370755297</v>
      </c>
      <c r="H190" s="266">
        <v>0.35175667111895409</v>
      </c>
      <c r="I190" s="266">
        <v>0.569264791272871</v>
      </c>
      <c r="J190" s="266">
        <v>0.43073520872712895</v>
      </c>
      <c r="K190" s="266">
        <v>2.1107742105314471E-2</v>
      </c>
      <c r="L190" s="266">
        <v>-7.3852723532451328E-3</v>
      </c>
      <c r="M190" s="266">
        <v>0.60057438603194602</v>
      </c>
      <c r="N190" s="266">
        <v>-1.3491715760030025E-2</v>
      </c>
      <c r="O190" s="163">
        <v>1468.4815697485542</v>
      </c>
      <c r="P190" s="264">
        <v>1.4291017590119002</v>
      </c>
      <c r="S190" s="266"/>
    </row>
    <row r="191" spans="2:19" x14ac:dyDescent="0.2">
      <c r="B191" t="s">
        <v>374</v>
      </c>
      <c r="C191" s="266">
        <v>0.2606438601732895</v>
      </c>
      <c r="D191" s="266">
        <v>0.17723726831886225</v>
      </c>
      <c r="E191" s="266">
        <v>1.0522492476951679</v>
      </c>
      <c r="F191" s="266">
        <v>0.1709504916336036</v>
      </c>
      <c r="G191" s="266">
        <v>0</v>
      </c>
      <c r="H191" s="266">
        <v>1.0727633066912003</v>
      </c>
      <c r="I191" s="266">
        <v>0.69253634782000506</v>
      </c>
      <c r="J191" s="266">
        <v>0.30746365217999494</v>
      </c>
      <c r="K191" s="266">
        <v>-0.22120637111149444</v>
      </c>
      <c r="L191" s="266">
        <v>0.16643187089107392</v>
      </c>
      <c r="M191" s="266">
        <v>0.55155247179872868</v>
      </c>
      <c r="N191" s="266">
        <v>3.5511804863236469E-2</v>
      </c>
      <c r="O191" s="163">
        <v>1407.9965086074055</v>
      </c>
      <c r="P191" s="264">
        <v>0.89199837765803347</v>
      </c>
      <c r="S191" s="266"/>
    </row>
    <row r="192" spans="2:19" x14ac:dyDescent="0.2">
      <c r="B192" t="s">
        <v>248</v>
      </c>
      <c r="C192" s="266">
        <v>3.5375150461415004E-2</v>
      </c>
      <c r="D192" s="266">
        <v>7.9968012794882054E-2</v>
      </c>
      <c r="E192" s="266">
        <v>0.28983073437291751</v>
      </c>
      <c r="F192" s="266">
        <v>5.4498200719712113E-2</v>
      </c>
      <c r="G192" s="266">
        <v>0.19897374383579902</v>
      </c>
      <c r="H192" s="266">
        <v>0.16305811008929763</v>
      </c>
      <c r="I192" s="266">
        <v>0.38312533046857294</v>
      </c>
      <c r="J192" s="266">
        <v>0.616874669531427</v>
      </c>
      <c r="K192" s="266">
        <v>-1.9458883113421298E-3</v>
      </c>
      <c r="L192" s="266">
        <v>1.8605890976942558E-2</v>
      </c>
      <c r="M192" s="266">
        <v>0.63743635049429437</v>
      </c>
      <c r="N192" s="266">
        <v>5.4051299560802256E-2</v>
      </c>
      <c r="O192" s="163">
        <v>1164.685957725904</v>
      </c>
      <c r="P192" s="264">
        <v>0.98946317103620474</v>
      </c>
      <c r="S192" s="266"/>
    </row>
    <row r="193" spans="2:19" x14ac:dyDescent="0.2">
      <c r="B193" t="s">
        <v>451</v>
      </c>
      <c r="C193" s="266">
        <v>4.5169645143872804E-2</v>
      </c>
      <c r="D193" s="266">
        <v>8.0077682593083579E-2</v>
      </c>
      <c r="E193" s="266">
        <v>0.49396400310433308</v>
      </c>
      <c r="F193" s="266">
        <v>0.19387228417272867</v>
      </c>
      <c r="G193" s="266">
        <v>0.23640833119817603</v>
      </c>
      <c r="H193" s="266">
        <v>0.35883509530228253</v>
      </c>
      <c r="I193" s="266">
        <v>0.61624102102806788</v>
      </c>
      <c r="J193" s="266">
        <v>0.38375897897193217</v>
      </c>
      <c r="K193" s="266">
        <v>1.2164826718058975E-2</v>
      </c>
      <c r="L193" s="266">
        <v>7.0571590896431877E-2</v>
      </c>
      <c r="M193" s="266">
        <v>0.60761618963088926</v>
      </c>
      <c r="N193" s="266">
        <v>5.5313885150258015E-3</v>
      </c>
      <c r="O193" s="163">
        <v>1352.385672223425</v>
      </c>
      <c r="P193" s="264">
        <v>0.9452405322415558</v>
      </c>
      <c r="S193" s="266"/>
    </row>
    <row r="194" spans="2:19" x14ac:dyDescent="0.2">
      <c r="B194" t="s">
        <v>286</v>
      </c>
      <c r="C194" s="266">
        <v>4.7429035847520815E-3</v>
      </c>
      <c r="D194" s="266">
        <v>0</v>
      </c>
      <c r="E194" s="266">
        <v>-0.18009496533011757</v>
      </c>
      <c r="F194" s="266">
        <v>3.7684654808561951E-2</v>
      </c>
      <c r="G194" s="266">
        <v>0</v>
      </c>
      <c r="H194" s="266">
        <v>-0.17557280675309014</v>
      </c>
      <c r="I194" s="266">
        <v>0.11869823550594166</v>
      </c>
      <c r="J194" s="266">
        <v>0.88130176449405828</v>
      </c>
      <c r="K194" s="266">
        <v>-1.4470907446487789E-2</v>
      </c>
      <c r="L194" s="266">
        <v>-1.3962164606572203E-2</v>
      </c>
      <c r="M194" s="266">
        <v>0.663582636181834</v>
      </c>
      <c r="N194" s="266">
        <v>2.1875719070229251E-2</v>
      </c>
      <c r="O194" s="163">
        <v>1226.9408573238545</v>
      </c>
      <c r="P194" s="264">
        <v>2.465795541890853</v>
      </c>
      <c r="S194" s="266"/>
    </row>
    <row r="195" spans="2:19" x14ac:dyDescent="0.2">
      <c r="B195" t="s">
        <v>167</v>
      </c>
      <c r="C195" s="266">
        <v>5.8468962002739114E-2</v>
      </c>
      <c r="D195" s="266">
        <v>0</v>
      </c>
      <c r="E195" s="266">
        <v>0.64144432017894237</v>
      </c>
      <c r="F195" s="266">
        <v>7.7296692762422112E-2</v>
      </c>
      <c r="G195" s="266">
        <v>9.6341268573254507E-2</v>
      </c>
      <c r="H195" s="266">
        <v>0.58617127336635255</v>
      </c>
      <c r="I195" s="266">
        <v>0.69211977228921062</v>
      </c>
      <c r="J195" s="266">
        <v>0.30788022771078938</v>
      </c>
      <c r="K195" s="266">
        <v>3.1634446397188049E-3</v>
      </c>
      <c r="L195" s="266">
        <v>5.7445278798530119E-2</v>
      </c>
      <c r="M195" s="266">
        <v>0.68630748005813447</v>
      </c>
      <c r="N195" s="266">
        <v>-1.3252186268324926E-2</v>
      </c>
      <c r="O195" s="163">
        <v>1720.1328774583965</v>
      </c>
      <c r="P195" s="264">
        <v>1.4507090971982013</v>
      </c>
      <c r="S195" s="266"/>
    </row>
    <row r="196" spans="2:19" ht="15" x14ac:dyDescent="0.25">
      <c r="B196" t="s">
        <v>210</v>
      </c>
      <c r="C196" s="266">
        <v>1.7223142826922399E-2</v>
      </c>
      <c r="D196" s="266">
        <v>8.2976780823143984E-2</v>
      </c>
      <c r="E196" s="266">
        <v>0.39574643298304663</v>
      </c>
      <c r="F196" s="266">
        <v>0.10123704326966111</v>
      </c>
      <c r="G196" s="266">
        <v>2.0891888504985769E-2</v>
      </c>
      <c r="H196" s="271">
        <v>0.39389731287706553</v>
      </c>
      <c r="I196" s="271">
        <v>0.59437174811152793</v>
      </c>
      <c r="J196" s="266">
        <v>0.40562825188847212</v>
      </c>
      <c r="K196" s="266">
        <v>7.8966683972144153E-2</v>
      </c>
      <c r="L196" s="266">
        <v>3.6471293793300989E-2</v>
      </c>
      <c r="M196" s="266">
        <v>0.66024242850408021</v>
      </c>
      <c r="N196" s="266">
        <v>-9.5640319480736046E-3</v>
      </c>
      <c r="O196" s="163">
        <v>1373.2939741992882</v>
      </c>
      <c r="P196" s="264">
        <v>0.6174496644295302</v>
      </c>
      <c r="S196" s="266"/>
    </row>
    <row r="197" spans="2:19" x14ac:dyDescent="0.2">
      <c r="B197" t="s">
        <v>249</v>
      </c>
      <c r="C197" s="266">
        <v>1.5181432327761573E-2</v>
      </c>
      <c r="D197" s="266">
        <v>2.9719006790793052E-2</v>
      </c>
      <c r="E197" s="266">
        <v>0.39976521984635272</v>
      </c>
      <c r="F197" s="266">
        <v>0.10999004413272509</v>
      </c>
      <c r="G197" s="266">
        <v>0.24552357460213681</v>
      </c>
      <c r="H197" s="266">
        <v>0.24846323015884803</v>
      </c>
      <c r="I197" s="266">
        <v>0.57785893631590957</v>
      </c>
      <c r="J197" s="266">
        <v>0.42214106368409038</v>
      </c>
      <c r="K197" s="266">
        <v>7.4282657473587227E-2</v>
      </c>
      <c r="L197" s="266">
        <v>1.1426958111059928E-2</v>
      </c>
      <c r="M197" s="266">
        <v>0.44747427599706657</v>
      </c>
      <c r="N197" s="266">
        <v>1.025245616354482E-2</v>
      </c>
      <c r="O197" s="163">
        <v>1364.7077141914735</v>
      </c>
      <c r="P197" s="264">
        <v>1.9060238150828859</v>
      </c>
      <c r="S197" s="266"/>
    </row>
    <row r="198" spans="2:19" x14ac:dyDescent="0.2">
      <c r="B198" t="s">
        <v>491</v>
      </c>
      <c r="C198" s="266">
        <v>4.1234146300964988E-2</v>
      </c>
      <c r="D198" s="266">
        <v>0.13866500268663443</v>
      </c>
      <c r="E198" s="266">
        <v>-1.1041200838923267E-2</v>
      </c>
      <c r="F198" s="266">
        <v>5.4668677309205625E-2</v>
      </c>
      <c r="G198" s="266">
        <v>2.5739691123706516E-2</v>
      </c>
      <c r="H198" s="266">
        <v>-2.1726552614701959E-2</v>
      </c>
      <c r="I198" s="266">
        <v>0.35820716062856667</v>
      </c>
      <c r="J198" s="266">
        <v>0.64179283937143328</v>
      </c>
      <c r="K198" s="266">
        <v>-1.1855857729707243E-2</v>
      </c>
      <c r="L198" s="266">
        <v>4.1707832839339258E-2</v>
      </c>
      <c r="M198" s="266">
        <v>0.60006417883425323</v>
      </c>
      <c r="N198" s="266">
        <v>1.5963669272093115E-2</v>
      </c>
      <c r="O198" s="163">
        <v>1464.3579548226978</v>
      </c>
      <c r="P198" s="264">
        <v>0.78396459448332645</v>
      </c>
      <c r="S198" s="266"/>
    </row>
    <row r="199" spans="2:19" x14ac:dyDescent="0.2">
      <c r="B199" t="s">
        <v>375</v>
      </c>
      <c r="C199" s="266">
        <v>2.3267589463651331E-2</v>
      </c>
      <c r="D199" s="266">
        <v>0</v>
      </c>
      <c r="E199" s="266">
        <v>0.58497576203928636</v>
      </c>
      <c r="F199" s="266">
        <v>7.0020775394897386E-2</v>
      </c>
      <c r="G199" s="266">
        <v>0.16380684378881646</v>
      </c>
      <c r="H199" s="266">
        <v>0.48362766974816707</v>
      </c>
      <c r="I199" s="266">
        <v>0.63986347392904563</v>
      </c>
      <c r="J199" s="266">
        <v>0.36013652607095437</v>
      </c>
      <c r="K199" s="266">
        <v>1.5180328229254834E-2</v>
      </c>
      <c r="L199" s="266">
        <v>1.3569960317896519E-2</v>
      </c>
      <c r="M199" s="266">
        <v>0.667791759917164</v>
      </c>
      <c r="N199" s="266">
        <v>2.8235299561508425E-3</v>
      </c>
      <c r="O199" s="163">
        <v>1644.849072527202</v>
      </c>
      <c r="P199" s="264">
        <v>0.9738186462324393</v>
      </c>
      <c r="S199" s="266"/>
    </row>
    <row r="200" spans="2:19" x14ac:dyDescent="0.2">
      <c r="B200" t="s">
        <v>492</v>
      </c>
      <c r="C200" s="266">
        <v>2.0253463203903439E-2</v>
      </c>
      <c r="D200" s="266">
        <v>0.17256536792351088</v>
      </c>
      <c r="E200" s="266">
        <v>0.42210888021985787</v>
      </c>
      <c r="F200" s="266">
        <v>0.20190888096362603</v>
      </c>
      <c r="G200" s="266">
        <v>1.2210813645170527E-2</v>
      </c>
      <c r="H200" s="266">
        <v>0.43815670079322871</v>
      </c>
      <c r="I200" s="266">
        <v>0.66916906315790969</v>
      </c>
      <c r="J200" s="266">
        <v>0.33083093684209031</v>
      </c>
      <c r="K200" s="266">
        <v>-8.9270772514791694E-3</v>
      </c>
      <c r="L200" s="266">
        <v>2.7407391567900456E-2</v>
      </c>
      <c r="M200" s="266">
        <v>0.57097219311657288</v>
      </c>
      <c r="N200" s="266">
        <v>-9.36177814297455E-3</v>
      </c>
      <c r="O200" s="163">
        <v>2220.3359772960471</v>
      </c>
      <c r="P200" s="264">
        <v>0.65974222525997173</v>
      </c>
      <c r="S200" s="266"/>
    </row>
    <row r="201" spans="2:19" x14ac:dyDescent="0.2">
      <c r="B201" t="s">
        <v>168</v>
      </c>
      <c r="C201" s="266">
        <v>-1.0987427411792934E-2</v>
      </c>
      <c r="D201" s="266">
        <v>3.9241847506180594E-2</v>
      </c>
      <c r="E201" s="266">
        <v>0.64132951379350944</v>
      </c>
      <c r="F201" s="266">
        <v>0.10505042577404544</v>
      </c>
      <c r="G201" s="266">
        <v>8.6999175921202376E-2</v>
      </c>
      <c r="H201" s="266">
        <v>0.59564611701918935</v>
      </c>
      <c r="I201" s="266">
        <v>0.71160258175032887</v>
      </c>
      <c r="J201" s="266">
        <v>0.28839741824967119</v>
      </c>
      <c r="K201" s="266">
        <v>4.0144409998822746E-2</v>
      </c>
      <c r="L201" s="266">
        <v>-1.0565867441039125E-2</v>
      </c>
      <c r="M201" s="266">
        <v>0.65280449034291732</v>
      </c>
      <c r="N201" s="266">
        <v>1.1191978150406654E-2</v>
      </c>
      <c r="O201" s="163">
        <v>1390.695539734462</v>
      </c>
      <c r="P201" s="264">
        <v>1.1567611777535443</v>
      </c>
      <c r="S201" s="266"/>
    </row>
    <row r="202" spans="2:19" x14ac:dyDescent="0.2">
      <c r="B202" t="s">
        <v>329</v>
      </c>
      <c r="C202" s="266">
        <v>-4.5781839128613319E-2</v>
      </c>
      <c r="D202" s="266">
        <v>0</v>
      </c>
      <c r="E202" s="266">
        <v>8.6345305268154801E-2</v>
      </c>
      <c r="F202" s="266">
        <v>9.7228365825502483E-2</v>
      </c>
      <c r="G202" s="266">
        <v>8.6428810322692007E-2</v>
      </c>
      <c r="H202" s="266">
        <v>4.0105406251011458E-2</v>
      </c>
      <c r="I202" s="266">
        <v>0.30537704234190616</v>
      </c>
      <c r="J202" s="266">
        <v>0.6946229576580939</v>
      </c>
      <c r="K202" s="266">
        <v>-3.5753972963350561E-2</v>
      </c>
      <c r="L202" s="266">
        <v>-2.5746124135550063E-2</v>
      </c>
      <c r="M202" s="266">
        <v>0.63342896520159975</v>
      </c>
      <c r="N202" s="266">
        <v>3.6834160692039299E-2</v>
      </c>
      <c r="O202" s="163">
        <v>1285.9728072086793</v>
      </c>
      <c r="P202" s="264">
        <v>1.0704093744069427</v>
      </c>
      <c r="S202" s="266"/>
    </row>
    <row r="203" spans="2:19" x14ac:dyDescent="0.2">
      <c r="B203" t="s">
        <v>493</v>
      </c>
      <c r="C203" s="266">
        <v>-6.0954391500023198E-3</v>
      </c>
      <c r="D203" s="266">
        <v>0</v>
      </c>
      <c r="E203" s="266">
        <v>-0.32159268397582452</v>
      </c>
      <c r="F203" s="266">
        <v>1.5278991330330263</v>
      </c>
      <c r="G203" s="266">
        <v>0</v>
      </c>
      <c r="H203" s="266">
        <v>-0.13824478801186138</v>
      </c>
      <c r="I203" s="266">
        <v>0.5825378705642591</v>
      </c>
      <c r="J203" s="266">
        <v>0.41746212943574085</v>
      </c>
      <c r="K203" s="266">
        <v>5.6183081694094208E-2</v>
      </c>
      <c r="L203" s="266">
        <v>1.6439549992077324E-2</v>
      </c>
      <c r="M203" s="266">
        <v>0.62063202154303365</v>
      </c>
      <c r="N203" s="266">
        <v>-1.7311430534809245E-2</v>
      </c>
      <c r="O203" s="163">
        <v>1568.7029620306271</v>
      </c>
      <c r="P203" s="264">
        <v>1.8386920980926431</v>
      </c>
      <c r="S203" s="266"/>
    </row>
    <row r="204" spans="2:19" x14ac:dyDescent="0.2">
      <c r="B204" t="s">
        <v>713</v>
      </c>
      <c r="C204" s="266">
        <v>3.409775053363253E-2</v>
      </c>
      <c r="D204" s="266">
        <v>0.112</v>
      </c>
      <c r="E204" s="266">
        <v>0.89600000000000002</v>
      </c>
      <c r="F204" s="266">
        <v>5.0999999999999997E-2</v>
      </c>
      <c r="G204" s="266">
        <v>0.75</v>
      </c>
      <c r="H204" s="266">
        <v>0.4</v>
      </c>
      <c r="I204" s="266">
        <v>0.58699999999999997</v>
      </c>
      <c r="J204" s="266">
        <v>0.38130395605034445</v>
      </c>
      <c r="K204" s="266">
        <v>-2.9042128455385143E-2</v>
      </c>
      <c r="L204" s="266">
        <v>2.0977382068401041E-2</v>
      </c>
      <c r="M204" s="266">
        <v>0.629</v>
      </c>
      <c r="N204" s="266">
        <v>1.6435214998167275E-2</v>
      </c>
      <c r="O204" s="163">
        <v>1665.3859197094007</v>
      </c>
      <c r="P204" s="264">
        <v>0.91207594148770621</v>
      </c>
      <c r="S204" s="266"/>
    </row>
    <row r="205" spans="2:19" ht="15" x14ac:dyDescent="0.25">
      <c r="B205" t="s">
        <v>149</v>
      </c>
      <c r="C205" s="266">
        <v>3.8540846456692916E-2</v>
      </c>
      <c r="D205" s="266">
        <v>5.5689524503193928E-2</v>
      </c>
      <c r="E205" s="266">
        <v>1.1363792950718019</v>
      </c>
      <c r="F205" s="266">
        <v>0.1454148170749712</v>
      </c>
      <c r="G205" s="266">
        <v>0.33397966515418459</v>
      </c>
      <c r="H205" s="271">
        <v>0.93006269746749481</v>
      </c>
      <c r="I205" s="271">
        <v>0.88512735598877146</v>
      </c>
      <c r="J205" s="266">
        <v>0.11487264401122854</v>
      </c>
      <c r="K205" s="266">
        <v>-3.8386204588627842E-3</v>
      </c>
      <c r="L205" s="266">
        <v>-7.3819624208899693E-6</v>
      </c>
      <c r="M205" s="266">
        <v>0.62686809293165691</v>
      </c>
      <c r="N205" s="266">
        <v>-1.0038380212754203E-2</v>
      </c>
      <c r="O205" s="163">
        <v>1697.4102962200147</v>
      </c>
      <c r="P205" s="264">
        <v>0.33211202569765108</v>
      </c>
      <c r="S205" s="266"/>
    </row>
    <row r="206" spans="2:19" ht="15" x14ac:dyDescent="0.25">
      <c r="B206" t="s">
        <v>407</v>
      </c>
      <c r="C206" s="266">
        <v>-4.7627797226466552E-3</v>
      </c>
      <c r="D206" s="266">
        <v>4.7829671947700103E-2</v>
      </c>
      <c r="E206" s="266">
        <v>1.1865245303021379</v>
      </c>
      <c r="F206" s="266">
        <v>0.24540314506154662</v>
      </c>
      <c r="G206" s="266">
        <v>0.3008422168561164</v>
      </c>
      <c r="H206" s="271">
        <v>1.0144086224159254</v>
      </c>
      <c r="I206" s="271">
        <v>0.84286871291383614</v>
      </c>
      <c r="J206" s="266">
        <v>0.15713128708616386</v>
      </c>
      <c r="K206" s="266">
        <v>-2.4972024265268863E-3</v>
      </c>
      <c r="L206" s="266">
        <v>4.7217150597797276E-2</v>
      </c>
      <c r="M206" s="266">
        <v>0.5735240419019233</v>
      </c>
      <c r="N206" s="266">
        <v>8.8335355446996909E-4</v>
      </c>
      <c r="O206" s="163">
        <v>1782.3420547631442</v>
      </c>
      <c r="P206" s="264">
        <v>0.467848961213366</v>
      </c>
      <c r="S206" s="266"/>
    </row>
    <row r="207" spans="2:19" x14ac:dyDescent="0.2">
      <c r="B207" t="s">
        <v>376</v>
      </c>
      <c r="C207" s="266">
        <v>1.6458328719632622E-2</v>
      </c>
      <c r="D207" s="266">
        <v>3.7898259056301828E-2</v>
      </c>
      <c r="E207" s="266">
        <v>-4.5123902817516125E-2</v>
      </c>
      <c r="F207" s="266">
        <v>0.22702584743707871</v>
      </c>
      <c r="G207" s="266">
        <v>0.3344406187866738</v>
      </c>
      <c r="H207" s="266">
        <v>-0.24195601571213815</v>
      </c>
      <c r="I207" s="266">
        <v>0.24440744979710749</v>
      </c>
      <c r="J207" s="266">
        <v>0.75559255020289251</v>
      </c>
      <c r="K207" s="266">
        <v>-4.4226759129043211E-2</v>
      </c>
      <c r="L207" s="266">
        <v>7.4996362930992683E-2</v>
      </c>
      <c r="M207" s="266">
        <v>0.45108935906094366</v>
      </c>
      <c r="N207" s="266">
        <v>9.6077141435190749E-3</v>
      </c>
      <c r="O207" s="163">
        <v>1468.4618577282756</v>
      </c>
      <c r="P207" s="264">
        <v>0.74341198410767861</v>
      </c>
      <c r="S207" s="266"/>
    </row>
    <row r="208" spans="2:19" x14ac:dyDescent="0.2">
      <c r="B208" t="s">
        <v>150</v>
      </c>
      <c r="C208" s="266">
        <v>4.1743276314621561E-2</v>
      </c>
      <c r="D208" s="266">
        <v>0.10349154603433332</v>
      </c>
      <c r="E208" s="266">
        <v>0.49941139183192973</v>
      </c>
      <c r="F208" s="266">
        <v>5.569138820972562E-2</v>
      </c>
      <c r="G208" s="266">
        <v>0.12632436837815811</v>
      </c>
      <c r="H208" s="266">
        <v>0.42145703160373088</v>
      </c>
      <c r="I208" s="266">
        <v>0.60702614379084963</v>
      </c>
      <c r="J208" s="266">
        <v>0.39297385620915032</v>
      </c>
      <c r="K208" s="266">
        <v>1.8848397821502955E-2</v>
      </c>
      <c r="L208" s="266">
        <v>3.5361767635606264E-2</v>
      </c>
      <c r="M208" s="266">
        <v>0.69782511846198625</v>
      </c>
      <c r="N208" s="266">
        <v>1.7141850209016842E-2</v>
      </c>
      <c r="O208" s="163">
        <v>1522.4956457454132</v>
      </c>
      <c r="P208" s="264">
        <v>0.76940726577437857</v>
      </c>
      <c r="S208" s="266"/>
    </row>
    <row r="209" spans="2:19" x14ac:dyDescent="0.2">
      <c r="B209" t="s">
        <v>819</v>
      </c>
      <c r="C209" s="266">
        <v>-1.1427626864697921E-2</v>
      </c>
      <c r="D209" s="266">
        <v>2.0157103678402899E-2</v>
      </c>
      <c r="E209" s="266">
        <v>0.37932590062512084</v>
      </c>
      <c r="F209" s="266">
        <v>2.585694542902766E-2</v>
      </c>
      <c r="G209" s="266">
        <v>5.636112364217024E-2</v>
      </c>
      <c r="H209" s="266">
        <v>0.34466678123635008</v>
      </c>
      <c r="I209" s="266">
        <v>0.7042731544253712</v>
      </c>
      <c r="J209" s="266">
        <v>0.29572684557462886</v>
      </c>
      <c r="K209" s="266">
        <v>-2.057957938604971E-2</v>
      </c>
      <c r="L209" s="266">
        <v>3.1640924290921066E-2</v>
      </c>
      <c r="M209" s="266">
        <v>0.65954942084282242</v>
      </c>
      <c r="N209" s="266">
        <v>-1.5827305858213094E-2</v>
      </c>
      <c r="O209" s="163">
        <v>2681.7293941341436</v>
      </c>
      <c r="P209" s="264">
        <v>1.1034585189900277</v>
      </c>
      <c r="S209" s="266"/>
    </row>
    <row r="210" spans="2:19" x14ac:dyDescent="0.2">
      <c r="B210" t="s">
        <v>452</v>
      </c>
      <c r="C210" s="266">
        <v>5.8345945945945943E-2</v>
      </c>
      <c r="D210" s="266">
        <v>0.20217540738344589</v>
      </c>
      <c r="E210" s="266">
        <v>0.47749787715822245</v>
      </c>
      <c r="F210" s="266">
        <v>1.5527071287048643E-2</v>
      </c>
      <c r="G210" s="266">
        <v>-4.5691642068658765E-3</v>
      </c>
      <c r="H210" s="266">
        <v>0.48242246573126846</v>
      </c>
      <c r="I210" s="266">
        <v>0.50550337117501298</v>
      </c>
      <c r="J210" s="266">
        <v>0.49449662882498702</v>
      </c>
      <c r="K210" s="266">
        <v>-2.0864502041971614E-2</v>
      </c>
      <c r="L210" s="266">
        <v>2.8526949981804214E-2</v>
      </c>
      <c r="M210" s="266">
        <v>0.6548550095778588</v>
      </c>
      <c r="N210" s="266">
        <v>-1.3683308981997225E-2</v>
      </c>
      <c r="O210" s="163">
        <v>1486.0457434995838</v>
      </c>
      <c r="P210" s="264">
        <v>0.64051551551551555</v>
      </c>
      <c r="S210" s="266"/>
    </row>
    <row r="211" spans="2:19" x14ac:dyDescent="0.2">
      <c r="B211" t="s">
        <v>453</v>
      </c>
      <c r="C211" s="266">
        <v>-2.5368479097499053E-2</v>
      </c>
      <c r="D211" s="266">
        <v>1.2820654029584429E-2</v>
      </c>
      <c r="E211" s="266">
        <v>9.2850612946217131E-3</v>
      </c>
      <c r="F211" s="266">
        <v>0.22348030091088325</v>
      </c>
      <c r="G211" s="266">
        <v>0.25076274080029959</v>
      </c>
      <c r="H211" s="266">
        <v>-0.13190833893227305</v>
      </c>
      <c r="I211" s="266">
        <v>0.3264647965818317</v>
      </c>
      <c r="J211" s="266">
        <v>0.6735352034181683</v>
      </c>
      <c r="K211" s="266">
        <v>-3.2932779680805366E-2</v>
      </c>
      <c r="L211" s="266">
        <v>-1.8625194127171195E-2</v>
      </c>
      <c r="M211" s="266">
        <v>0.55426358925432984</v>
      </c>
      <c r="N211" s="266">
        <v>-4.7569165445538977E-2</v>
      </c>
      <c r="O211" s="163">
        <v>1578.1704587900933</v>
      </c>
      <c r="P211" s="264">
        <v>0.94650073769966003</v>
      </c>
      <c r="S211" s="266"/>
    </row>
    <row r="212" spans="2:19" x14ac:dyDescent="0.2">
      <c r="B212" t="s">
        <v>377</v>
      </c>
      <c r="C212" s="266">
        <v>6.0161271624180439E-2</v>
      </c>
      <c r="D212" s="266">
        <v>2.5791475917209362E-2</v>
      </c>
      <c r="E212" s="266">
        <v>0.76042298020504229</v>
      </c>
      <c r="F212" s="266">
        <v>6.1125797923786189E-2</v>
      </c>
      <c r="G212" s="266">
        <v>0.16742536591656457</v>
      </c>
      <c r="H212" s="266">
        <v>0.65558308079179839</v>
      </c>
      <c r="I212" s="266">
        <v>0.72304226148981099</v>
      </c>
      <c r="J212" s="266">
        <v>0.27695773851018901</v>
      </c>
      <c r="K212" s="266">
        <v>-9.4396801856986273E-3</v>
      </c>
      <c r="L212" s="266">
        <v>3.837126829582823E-2</v>
      </c>
      <c r="M212" s="266">
        <v>0.46443978474208886</v>
      </c>
      <c r="N212" s="266">
        <v>1.7252811395468311E-2</v>
      </c>
      <c r="O212" s="163">
        <v>1217.5235732383755</v>
      </c>
      <c r="P212" s="264">
        <v>0.82778597008637034</v>
      </c>
      <c r="S212" s="266"/>
    </row>
    <row r="213" spans="2:19" x14ac:dyDescent="0.2">
      <c r="B213" t="s">
        <v>250</v>
      </c>
      <c r="C213" s="266">
        <v>5.1879018118059617E-2</v>
      </c>
      <c r="D213" s="266">
        <v>0</v>
      </c>
      <c r="E213" s="266">
        <v>0.77580183185924267</v>
      </c>
      <c r="F213" s="266">
        <v>5.8984608605331904E-2</v>
      </c>
      <c r="G213" s="266">
        <v>0.12202952377954739</v>
      </c>
      <c r="H213" s="266">
        <v>0.70112020395958574</v>
      </c>
      <c r="I213" s="266">
        <v>0.71561215800969979</v>
      </c>
      <c r="J213" s="266">
        <v>0.28438784199030026</v>
      </c>
      <c r="K213" s="266">
        <v>-2.339659857522059E-3</v>
      </c>
      <c r="L213" s="266">
        <v>2.1463493961998887E-2</v>
      </c>
      <c r="M213" s="266">
        <v>0.61295351919120311</v>
      </c>
      <c r="N213" s="266">
        <v>3.4267443749477987E-3</v>
      </c>
      <c r="O213" s="163">
        <v>1433.4707326328905</v>
      </c>
      <c r="P213" s="264">
        <v>1.9241860989072885</v>
      </c>
      <c r="S213" s="266"/>
    </row>
    <row r="214" spans="2:19" ht="15" x14ac:dyDescent="0.25">
      <c r="B214" t="s">
        <v>523</v>
      </c>
      <c r="C214" s="266">
        <v>1.4133316707899203E-2</v>
      </c>
      <c r="D214" s="266">
        <v>0</v>
      </c>
      <c r="E214" s="266">
        <v>0.36483373884833736</v>
      </c>
      <c r="F214" s="266">
        <v>3.3414436334144363E-3</v>
      </c>
      <c r="G214" s="266">
        <v>4.1103000811030008E-2</v>
      </c>
      <c r="H214" s="271">
        <v>0.33769570154095702</v>
      </c>
      <c r="I214" s="271">
        <v>0.5978901743315167</v>
      </c>
      <c r="J214" s="266">
        <v>0.4021098256684833</v>
      </c>
      <c r="K214" s="266">
        <v>5.213300892133009E-2</v>
      </c>
      <c r="L214" s="266">
        <v>9.6350364963503649E-3</v>
      </c>
      <c r="M214" s="266">
        <v>0.49459832948423477</v>
      </c>
      <c r="N214" s="266">
        <v>-8.6038275477754913E-3</v>
      </c>
      <c r="O214" s="163">
        <v>1330.5417018821663</v>
      </c>
      <c r="P214" s="264">
        <v>1.7507677769903143</v>
      </c>
      <c r="S214" s="266"/>
    </row>
    <row r="215" spans="2:19" x14ac:dyDescent="0.2">
      <c r="B215" t="s">
        <v>494</v>
      </c>
      <c r="C215" s="266">
        <v>-1.3918428625046915E-2</v>
      </c>
      <c r="D215" s="266">
        <v>0</v>
      </c>
      <c r="E215" s="266">
        <v>-0.47276662258025731</v>
      </c>
      <c r="F215" s="266">
        <v>2.1221594324876757E-2</v>
      </c>
      <c r="G215" s="266">
        <v>0</v>
      </c>
      <c r="H215" s="266">
        <v>-0.4702200312612721</v>
      </c>
      <c r="I215" s="266">
        <v>0.27221728764433639</v>
      </c>
      <c r="J215" s="266">
        <v>0.72778271235566361</v>
      </c>
      <c r="K215" s="266">
        <v>-0.10700973908861368</v>
      </c>
      <c r="L215" s="266">
        <v>-1.3526511963448358E-4</v>
      </c>
      <c r="M215" s="266">
        <v>0.60936882758528987</v>
      </c>
      <c r="N215" s="266">
        <v>2.3036507801983873E-2</v>
      </c>
      <c r="O215" s="163">
        <v>1356.4658815958817</v>
      </c>
      <c r="P215" s="264">
        <v>3.0505605124685427</v>
      </c>
      <c r="S215" s="266"/>
    </row>
    <row r="216" spans="2:19" x14ac:dyDescent="0.2">
      <c r="B216" t="s">
        <v>251</v>
      </c>
      <c r="C216" s="266">
        <v>-7.9197957624433969E-3</v>
      </c>
      <c r="D216" s="266">
        <v>0</v>
      </c>
      <c r="E216" s="266">
        <v>0.33821571238348869</v>
      </c>
      <c r="F216" s="266">
        <v>2.0301935082228027E-2</v>
      </c>
      <c r="G216" s="266">
        <v>2.9899527902191018E-2</v>
      </c>
      <c r="H216" s="266">
        <v>0.32061926089888809</v>
      </c>
      <c r="I216" s="266">
        <v>0.53584992142482979</v>
      </c>
      <c r="J216" s="266">
        <v>0.46415007857517027</v>
      </c>
      <c r="K216" s="266">
        <v>5.025334186452695E-2</v>
      </c>
      <c r="L216" s="266">
        <v>-2.7504452937209264E-2</v>
      </c>
      <c r="M216" s="266">
        <v>0.55512636901469314</v>
      </c>
      <c r="N216" s="266">
        <v>-1.9305313067471078E-2</v>
      </c>
      <c r="O216" s="163">
        <v>1452.2245697609546</v>
      </c>
      <c r="P216" s="264">
        <v>1.3732265446224257</v>
      </c>
      <c r="S216" s="266"/>
    </row>
    <row r="217" spans="2:19" x14ac:dyDescent="0.2">
      <c r="B217" t="s">
        <v>495</v>
      </c>
      <c r="C217" s="266">
        <v>1.0911100404729954E-2</v>
      </c>
      <c r="D217" s="266">
        <v>0</v>
      </c>
      <c r="E217" s="266">
        <v>-0.38630095004596998</v>
      </c>
      <c r="F217" s="266">
        <v>1.0802942077842477E-2</v>
      </c>
      <c r="G217" s="266">
        <v>6.2570231892941058E-2</v>
      </c>
      <c r="H217" s="266">
        <v>-0.42692665236489935</v>
      </c>
      <c r="I217" s="266">
        <v>0.13486812894059141</v>
      </c>
      <c r="J217" s="266">
        <v>0.86513187105940859</v>
      </c>
      <c r="K217" s="266">
        <v>3.6673817550311572E-2</v>
      </c>
      <c r="L217" s="266">
        <v>1.7155736030238022E-2</v>
      </c>
      <c r="M217" s="266">
        <v>0.60096762026235029</v>
      </c>
      <c r="N217" s="266">
        <v>-4.5822045093750962E-3</v>
      </c>
      <c r="O217" s="163">
        <v>1363.8510399240672</v>
      </c>
      <c r="P217" s="264">
        <v>3.4197693574958814</v>
      </c>
      <c r="S217" s="266"/>
    </row>
    <row r="218" spans="2:19" x14ac:dyDescent="0.2">
      <c r="B218" t="s">
        <v>252</v>
      </c>
      <c r="C218" s="266">
        <v>6.0981017570756642E-2</v>
      </c>
      <c r="D218" s="266">
        <v>4.6274145749276969E-2</v>
      </c>
      <c r="E218" s="266">
        <v>0.61531045809976082</v>
      </c>
      <c r="F218" s="266">
        <v>7.169636162387974E-2</v>
      </c>
      <c r="G218" s="266">
        <v>0.20498446816867211</v>
      </c>
      <c r="H218" s="266">
        <v>0.48657442782161608</v>
      </c>
      <c r="I218" s="266">
        <v>0.67941451747088188</v>
      </c>
      <c r="J218" s="266">
        <v>0.32058548252911812</v>
      </c>
      <c r="K218" s="266">
        <v>4.4274645624308205E-3</v>
      </c>
      <c r="L218" s="266">
        <v>6.3144928053700866E-2</v>
      </c>
      <c r="M218" s="266">
        <v>0.54454379664046193</v>
      </c>
      <c r="N218" s="266">
        <v>2.2647491326952329E-2</v>
      </c>
      <c r="O218" s="163">
        <v>1299.7888915896938</v>
      </c>
      <c r="P218" s="264">
        <v>1.0071161048689139</v>
      </c>
      <c r="S218" s="266"/>
    </row>
    <row r="219" spans="2:19" x14ac:dyDescent="0.2">
      <c r="B219" t="s">
        <v>287</v>
      </c>
      <c r="C219" s="266">
        <v>2.2890496303605682E-2</v>
      </c>
      <c r="D219" s="266">
        <v>0</v>
      </c>
      <c r="E219" s="266">
        <v>0.73340757815130408</v>
      </c>
      <c r="F219" s="266">
        <v>1.9139623423376759E-2</v>
      </c>
      <c r="G219" s="266">
        <v>2.2920929268861204E-2</v>
      </c>
      <c r="H219" s="266">
        <v>0.72034731035197219</v>
      </c>
      <c r="I219" s="266">
        <v>0.61874280806637216</v>
      </c>
      <c r="J219" s="266">
        <v>0.38125719193362789</v>
      </c>
      <c r="K219" s="266">
        <v>3.0457641604724042E-2</v>
      </c>
      <c r="L219" s="266">
        <v>4.8561290823858488E-4</v>
      </c>
      <c r="M219" s="266">
        <v>0.5324951298125703</v>
      </c>
      <c r="N219" s="266">
        <v>-1.4540553807730477E-2</v>
      </c>
      <c r="O219" s="163">
        <v>1927.3642935423907</v>
      </c>
      <c r="P219" s="264">
        <v>1.7044083322323513</v>
      </c>
      <c r="S219" s="266"/>
    </row>
    <row r="220" spans="2:19" x14ac:dyDescent="0.2">
      <c r="B220" t="s">
        <v>378</v>
      </c>
      <c r="C220" s="266">
        <v>5.0226886972184696E-3</v>
      </c>
      <c r="D220" s="266">
        <v>0</v>
      </c>
      <c r="E220" s="266">
        <v>0.13886351423965609</v>
      </c>
      <c r="F220" s="266">
        <v>2.5080601826974743E-2</v>
      </c>
      <c r="G220" s="266">
        <v>0.54011284255776459</v>
      </c>
      <c r="H220" s="266">
        <v>-0.22000241805480925</v>
      </c>
      <c r="I220" s="266">
        <v>0.45812807881773399</v>
      </c>
      <c r="J220" s="266">
        <v>0.54187192118226601</v>
      </c>
      <c r="K220" s="266">
        <v>-6.7571198280494361E-3</v>
      </c>
      <c r="L220" s="266">
        <v>2.1396426652337455E-2</v>
      </c>
      <c r="M220" s="266">
        <v>0.43604882106735032</v>
      </c>
      <c r="N220" s="266">
        <v>-7.7218852303925362E-3</v>
      </c>
      <c r="O220" s="163">
        <v>1328.7686687683599</v>
      </c>
      <c r="P220" s="264">
        <v>7.7804008908685969</v>
      </c>
      <c r="S220" s="266"/>
    </row>
    <row r="221" spans="2:19" x14ac:dyDescent="0.2">
      <c r="B221" t="s">
        <v>253</v>
      </c>
      <c r="C221" s="266">
        <v>2.0745003028467594E-2</v>
      </c>
      <c r="D221" s="266">
        <v>0</v>
      </c>
      <c r="E221" s="266">
        <v>0.26773628514867903</v>
      </c>
      <c r="F221" s="266">
        <v>5.2278639760372295E-2</v>
      </c>
      <c r="G221" s="266">
        <v>0.25844967507229255</v>
      </c>
      <c r="H221" s="266">
        <v>0.10084843962148771</v>
      </c>
      <c r="I221" s="266">
        <v>0.38678999806944947</v>
      </c>
      <c r="J221" s="266">
        <v>0.61321000193055053</v>
      </c>
      <c r="K221" s="266">
        <v>-1.7308748691479327E-2</v>
      </c>
      <c r="L221" s="266">
        <v>2.7235367888643596E-2</v>
      </c>
      <c r="M221" s="266">
        <v>0.52458817314389106</v>
      </c>
      <c r="N221" s="266">
        <v>1.7998641031291535E-2</v>
      </c>
      <c r="O221" s="163">
        <v>1289.1323899145177</v>
      </c>
      <c r="P221" s="264">
        <v>1.0243195904068985</v>
      </c>
      <c r="S221" s="266"/>
    </row>
    <row r="222" spans="2:19" x14ac:dyDescent="0.2">
      <c r="B222" t="s">
        <v>254</v>
      </c>
      <c r="C222" s="266">
        <v>3.6729304839105872E-2</v>
      </c>
      <c r="D222" s="266">
        <v>0.13016582106174979</v>
      </c>
      <c r="E222" s="266">
        <v>0.80695582229922036</v>
      </c>
      <c r="F222" s="266">
        <v>9.2776884049003833E-2</v>
      </c>
      <c r="G222" s="266">
        <v>0.42122262096275215</v>
      </c>
      <c r="H222" s="266">
        <v>0.53586989234005689</v>
      </c>
      <c r="I222" s="266">
        <v>0.87158816042352294</v>
      </c>
      <c r="J222" s="266">
        <v>0.12841183957647703</v>
      </c>
      <c r="K222" s="266">
        <v>1.3488429649795818E-2</v>
      </c>
      <c r="L222" s="266">
        <v>3.5513550303180298E-2</v>
      </c>
      <c r="M222" s="266">
        <v>0.55568596939255233</v>
      </c>
      <c r="N222" s="266">
        <v>-5.4654765196623191E-2</v>
      </c>
      <c r="O222" s="163">
        <v>2089.83362309323</v>
      </c>
      <c r="P222" s="264">
        <v>0.73434492830753806</v>
      </c>
      <c r="S222" s="266"/>
    </row>
    <row r="223" spans="2:19" x14ac:dyDescent="0.2">
      <c r="B223" t="s">
        <v>568</v>
      </c>
      <c r="C223" s="266">
        <v>6.5319942517945095E-2</v>
      </c>
      <c r="D223" s="266">
        <v>0.15372612921449791</v>
      </c>
      <c r="E223" s="266">
        <v>1.1829609958378651</v>
      </c>
      <c r="F223" s="266">
        <v>0.15240792765648359</v>
      </c>
      <c r="G223" s="266">
        <v>0.18629300968858931</v>
      </c>
      <c r="H223" s="266">
        <v>1.0764336306652882</v>
      </c>
      <c r="I223" s="266">
        <v>0.85742399490067689</v>
      </c>
      <c r="J223" s="266">
        <v>0.14257600509932314</v>
      </c>
      <c r="K223" s="266">
        <v>-4.9461382074764701E-3</v>
      </c>
      <c r="L223" s="266">
        <v>2.6792542745471805E-2</v>
      </c>
      <c r="M223" s="266">
        <v>0.679719719428311</v>
      </c>
      <c r="N223" s="266">
        <v>-3.0916761012953729E-3</v>
      </c>
      <c r="O223" s="163">
        <v>1776.2545930818053</v>
      </c>
      <c r="P223" s="264">
        <v>0.49855548459690419</v>
      </c>
      <c r="S223" s="266"/>
    </row>
    <row r="224" spans="2:19" x14ac:dyDescent="0.2">
      <c r="B224" t="s">
        <v>408</v>
      </c>
      <c r="C224" s="266">
        <v>9.7979053982818927E-3</v>
      </c>
      <c r="D224" s="266">
        <v>7.5709249622293098E-2</v>
      </c>
      <c r="E224" s="266">
        <v>0.33271781097868053</v>
      </c>
      <c r="F224" s="266">
        <v>2.1487325835151921E-2</v>
      </c>
      <c r="G224" s="266">
        <v>0.24059929494712104</v>
      </c>
      <c r="H224" s="266">
        <v>0.17409476246432767</v>
      </c>
      <c r="I224" s="266">
        <v>0.40092337247854243</v>
      </c>
      <c r="J224" s="266">
        <v>0.59907662752145752</v>
      </c>
      <c r="K224" s="266">
        <v>0.10269430921604834</v>
      </c>
      <c r="L224" s="266">
        <v>2.2148312909182476E-2</v>
      </c>
      <c r="M224" s="266">
        <v>0.55766514703698455</v>
      </c>
      <c r="N224" s="266">
        <v>2.0493098982197852E-2</v>
      </c>
      <c r="O224" s="163">
        <v>2046.3359409694017</v>
      </c>
      <c r="P224" s="264">
        <v>1.1116876698789226</v>
      </c>
      <c r="S224" s="266"/>
    </row>
    <row r="225" spans="2:19" x14ac:dyDescent="0.2">
      <c r="B225" t="s">
        <v>151</v>
      </c>
      <c r="C225" s="266">
        <v>1.7861225422953818E-3</v>
      </c>
      <c r="D225" s="266">
        <v>2.2651450534975869E-2</v>
      </c>
      <c r="E225" s="266">
        <v>0.55295235421772604</v>
      </c>
      <c r="F225" s="266">
        <v>6.6939462972759956E-3</v>
      </c>
      <c r="G225" s="266">
        <v>1.3452672720009501E-2</v>
      </c>
      <c r="H225" s="266">
        <v>0.54474233705099273</v>
      </c>
      <c r="I225" s="266">
        <v>0.65426604700105229</v>
      </c>
      <c r="J225" s="266">
        <v>0.34573395299894771</v>
      </c>
      <c r="K225" s="266">
        <v>4.378056812170026E-2</v>
      </c>
      <c r="L225" s="266">
        <v>7.3120566610164004E-3</v>
      </c>
      <c r="M225" s="266">
        <v>0.54648559292713772</v>
      </c>
      <c r="N225" s="266">
        <v>1.9500003249514695E-2</v>
      </c>
      <c r="O225" s="163">
        <v>1644.5396894861087</v>
      </c>
      <c r="P225" s="264">
        <v>0.46711465271170316</v>
      </c>
      <c r="S225" s="266"/>
    </row>
    <row r="226" spans="2:19" x14ac:dyDescent="0.2">
      <c r="B226" t="s">
        <v>514</v>
      </c>
      <c r="C226" s="266">
        <v>8.0678525234309309E-3</v>
      </c>
      <c r="D226" s="266">
        <v>0</v>
      </c>
      <c r="E226" s="266">
        <v>-5.8400849133685102E-2</v>
      </c>
      <c r="F226" s="266">
        <v>6.3952289682873004E-2</v>
      </c>
      <c r="G226" s="266">
        <v>0.13873256106966408</v>
      </c>
      <c r="H226" s="266">
        <v>-0.14367739028841528</v>
      </c>
      <c r="I226" s="266">
        <v>0.16541295341676174</v>
      </c>
      <c r="J226" s="266">
        <v>0.83458704658323823</v>
      </c>
      <c r="K226" s="266">
        <v>4.0990554151362664E-2</v>
      </c>
      <c r="L226" s="266">
        <v>3.5458203837900992E-2</v>
      </c>
      <c r="M226" s="266">
        <v>0.62416984956291388</v>
      </c>
      <c r="N226" s="266">
        <v>-1.3014812420736556E-2</v>
      </c>
      <c r="O226" s="163">
        <v>1695.1417995145737</v>
      </c>
      <c r="P226" s="264">
        <v>1.360058629534628</v>
      </c>
      <c r="S226" s="266"/>
    </row>
    <row r="227" spans="2:19" x14ac:dyDescent="0.2">
      <c r="B227" t="s">
        <v>379</v>
      </c>
      <c r="C227" s="266">
        <v>5.9130960004831215E-2</v>
      </c>
      <c r="D227" s="266">
        <v>0.15070540089386678</v>
      </c>
      <c r="E227" s="266">
        <v>0.52676215604975496</v>
      </c>
      <c r="F227" s="266">
        <v>3.6131603036993164E-2</v>
      </c>
      <c r="G227" s="266">
        <v>0.5673496311453341</v>
      </c>
      <c r="H227" s="266">
        <v>0.15097369554682022</v>
      </c>
      <c r="I227" s="266">
        <v>0.45632327677927309</v>
      </c>
      <c r="J227" s="266">
        <v>0.54367672322072691</v>
      </c>
      <c r="K227" s="266">
        <v>-2.6102525442894837E-2</v>
      </c>
      <c r="L227" s="266">
        <v>0.12204512411824889</v>
      </c>
      <c r="M227" s="266">
        <v>0.43062706082307894</v>
      </c>
      <c r="N227" s="266">
        <v>2.9617120561899878E-2</v>
      </c>
      <c r="O227" s="163">
        <v>1801.6750620529672</v>
      </c>
      <c r="P227" s="264">
        <v>1.0345029863481228</v>
      </c>
      <c r="S227" s="266"/>
    </row>
    <row r="228" spans="2:19" x14ac:dyDescent="0.2">
      <c r="B228" t="s">
        <v>380</v>
      </c>
      <c r="C228" s="266">
        <v>9.4609660685590971E-2</v>
      </c>
      <c r="D228" s="266">
        <v>0</v>
      </c>
      <c r="E228" s="266">
        <v>0.16243154151633918</v>
      </c>
      <c r="F228" s="266">
        <v>0.2385340151062891</v>
      </c>
      <c r="G228" s="266">
        <v>8.783450567134736E-2</v>
      </c>
      <c r="H228" s="266">
        <v>0.13220650452929114</v>
      </c>
      <c r="I228" s="266">
        <v>0.51254584618967225</v>
      </c>
      <c r="J228" s="266">
        <v>0.48745415381032775</v>
      </c>
      <c r="K228" s="266">
        <v>-0.18254730448776182</v>
      </c>
      <c r="L228" s="266">
        <v>-5.4831676486619772E-3</v>
      </c>
      <c r="M228" s="266">
        <v>0.53666272077886323</v>
      </c>
      <c r="N228" s="266">
        <v>4.2001711729564205E-2</v>
      </c>
      <c r="O228" s="163">
        <v>1374.044639225775</v>
      </c>
      <c r="P228" s="264">
        <v>2.9289940828402368</v>
      </c>
      <c r="S228" s="266"/>
    </row>
    <row r="229" spans="2:19" x14ac:dyDescent="0.2">
      <c r="B229" t="s">
        <v>518</v>
      </c>
      <c r="C229" s="266">
        <v>1.8238829163098977E-2</v>
      </c>
      <c r="D229" s="266">
        <v>6.731173748422381E-2</v>
      </c>
      <c r="E229" s="266">
        <v>1.2871182162389567</v>
      </c>
      <c r="F229" s="266">
        <v>0.19170382835506941</v>
      </c>
      <c r="G229" s="266">
        <v>1.2482793437105595</v>
      </c>
      <c r="H229" s="266">
        <v>0.47377551535549023</v>
      </c>
      <c r="I229" s="266">
        <v>0.74740654623502056</v>
      </c>
      <c r="J229" s="266">
        <v>0.25259345376497944</v>
      </c>
      <c r="K229" s="266">
        <v>4.5553218342448465E-2</v>
      </c>
      <c r="L229" s="266">
        <v>8.5359697097181324E-3</v>
      </c>
      <c r="M229" s="266">
        <v>0.48851650571951843</v>
      </c>
      <c r="N229" s="266">
        <v>6.1031389397834981E-4</v>
      </c>
      <c r="O229" s="163">
        <v>1094.9342507324327</v>
      </c>
      <c r="P229" s="264">
        <v>1.0044512787309809</v>
      </c>
      <c r="S229" s="266"/>
    </row>
    <row r="230" spans="2:19" x14ac:dyDescent="0.2">
      <c r="B230" t="s">
        <v>255</v>
      </c>
      <c r="C230" s="266">
        <v>-2.0441476879430053E-2</v>
      </c>
      <c r="D230" s="266">
        <v>5.2728710783021354E-2</v>
      </c>
      <c r="E230" s="266">
        <v>0.27366200896388082</v>
      </c>
      <c r="F230" s="266">
        <v>3.2129361103787682E-2</v>
      </c>
      <c r="G230" s="266">
        <v>0.53227875911767286</v>
      </c>
      <c r="H230" s="266">
        <v>-7.9109236312505493E-2</v>
      </c>
      <c r="I230" s="266">
        <v>0.33018280533970912</v>
      </c>
      <c r="J230" s="266">
        <v>0.66981719466029088</v>
      </c>
      <c r="K230" s="266">
        <v>5.0971087090253978E-4</v>
      </c>
      <c r="L230" s="266">
        <v>-2.3560945601546708E-2</v>
      </c>
      <c r="M230" s="266">
        <v>0.66939403450808932</v>
      </c>
      <c r="N230" s="266">
        <v>4.2872402558387562E-2</v>
      </c>
      <c r="O230" s="163">
        <v>1296.2479003346969</v>
      </c>
      <c r="P230" s="264">
        <v>0.9642517186673718</v>
      </c>
      <c r="S230" s="266"/>
    </row>
    <row r="231" spans="2:19" x14ac:dyDescent="0.2">
      <c r="B231" t="s">
        <v>496</v>
      </c>
      <c r="C231" s="266">
        <v>3.6079308078294466E-2</v>
      </c>
      <c r="D231" s="266">
        <v>0</v>
      </c>
      <c r="E231" s="266">
        <v>1.8986790535636521E-2</v>
      </c>
      <c r="F231" s="266">
        <v>4.4273479460008709E-2</v>
      </c>
      <c r="G231" s="266">
        <v>7.7224560894179131E-2</v>
      </c>
      <c r="H231" s="266">
        <v>-2.7440847728262455E-2</v>
      </c>
      <c r="I231" s="266">
        <v>0.39230142566191445</v>
      </c>
      <c r="J231" s="266">
        <v>0.6076985743380855</v>
      </c>
      <c r="K231" s="266">
        <v>-3.6986500217738423E-2</v>
      </c>
      <c r="L231" s="266">
        <v>1.5256205545071854E-2</v>
      </c>
      <c r="M231" s="266">
        <v>0.68168496455964889</v>
      </c>
      <c r="N231" s="266">
        <v>-6.1516614841068962E-3</v>
      </c>
      <c r="O231" s="163">
        <v>1624.3170290564806</v>
      </c>
      <c r="P231" s="264">
        <v>1.4593741027849556</v>
      </c>
      <c r="S231" s="266"/>
    </row>
    <row r="232" spans="2:19" x14ac:dyDescent="0.2">
      <c r="B232" t="s">
        <v>381</v>
      </c>
      <c r="C232" s="266">
        <v>2.8781072177298594E-2</v>
      </c>
      <c r="D232" s="266">
        <v>1.1061276440996425E-3</v>
      </c>
      <c r="E232" s="266">
        <v>1.02484999090854</v>
      </c>
      <c r="F232" s="266">
        <v>7.2277107703497181E-3</v>
      </c>
      <c r="G232" s="266">
        <v>0.42496514940299412</v>
      </c>
      <c r="H232" s="266">
        <v>0.74099066610097597</v>
      </c>
      <c r="I232" s="266">
        <v>0.75773465232354897</v>
      </c>
      <c r="J232" s="266">
        <v>0.24226534767645097</v>
      </c>
      <c r="K232" s="266">
        <v>4.1517667737438636E-3</v>
      </c>
      <c r="L232" s="266">
        <v>1.9467088914479666E-2</v>
      </c>
      <c r="M232" s="266">
        <v>0.41914660504853796</v>
      </c>
      <c r="N232" s="266">
        <v>2.0396599592115788E-2</v>
      </c>
      <c r="O232" s="163">
        <v>1390.6053599423753</v>
      </c>
      <c r="P232" s="264">
        <v>2.6618981158408932</v>
      </c>
      <c r="S232" s="266"/>
    </row>
    <row r="233" spans="2:19" x14ac:dyDescent="0.2">
      <c r="B233" t="s">
        <v>454</v>
      </c>
      <c r="C233" s="266">
        <v>1.9384487801696253E-2</v>
      </c>
      <c r="D233" s="266">
        <v>0</v>
      </c>
      <c r="E233" s="266">
        <v>0.29336567218615506</v>
      </c>
      <c r="F233" s="266">
        <v>2.2813480195492012E-2</v>
      </c>
      <c r="G233" s="266">
        <v>0.14125756802100808</v>
      </c>
      <c r="H233" s="266">
        <v>0.20146071923553865</v>
      </c>
      <c r="I233" s="266">
        <v>0.44940033845927452</v>
      </c>
      <c r="J233" s="266">
        <v>0.55059966154072548</v>
      </c>
      <c r="K233" s="266">
        <v>-1.3585965424173901E-2</v>
      </c>
      <c r="L233" s="266">
        <v>3.3736961120431831E-3</v>
      </c>
      <c r="M233" s="266">
        <v>0.41332381214568448</v>
      </c>
      <c r="N233" s="266">
        <v>-8.3039768443590057E-3</v>
      </c>
      <c r="O233" s="163">
        <v>1364.0314444865071</v>
      </c>
      <c r="P233" s="264">
        <v>2.8267888307155324</v>
      </c>
      <c r="S233" s="266"/>
    </row>
    <row r="234" spans="2:19" x14ac:dyDescent="0.2">
      <c r="B234" t="s">
        <v>455</v>
      </c>
      <c r="C234" s="266">
        <v>-3.9246023831518411E-3</v>
      </c>
      <c r="D234" s="266">
        <v>5.72655690765927E-2</v>
      </c>
      <c r="E234" s="266">
        <v>0.69736578382247671</v>
      </c>
      <c r="F234" s="266">
        <v>1.9126700071581963E-2</v>
      </c>
      <c r="G234" s="266">
        <v>0.23898353614889048</v>
      </c>
      <c r="H234" s="266">
        <v>0.5395420186113099</v>
      </c>
      <c r="I234" s="266">
        <v>0.75030372942923407</v>
      </c>
      <c r="J234" s="266">
        <v>0.24969627057076588</v>
      </c>
      <c r="K234" s="266">
        <v>2.7974230493915533E-2</v>
      </c>
      <c r="L234" s="266">
        <v>-1.51932712956335E-2</v>
      </c>
      <c r="M234" s="266">
        <v>0.54173184219462045</v>
      </c>
      <c r="N234" s="266">
        <v>2.1180004411854185E-2</v>
      </c>
      <c r="O234" s="163">
        <v>1404.6116662169975</v>
      </c>
      <c r="P234" s="264">
        <v>1.0388649559842666</v>
      </c>
      <c r="S234" s="266"/>
    </row>
    <row r="235" spans="2:19" x14ac:dyDescent="0.2">
      <c r="B235" t="s">
        <v>170</v>
      </c>
      <c r="C235" s="266">
        <v>4.2567223503118944E-2</v>
      </c>
      <c r="D235" s="266">
        <v>3.4845633842079587E-2</v>
      </c>
      <c r="E235" s="266">
        <v>0.47222802982786255</v>
      </c>
      <c r="F235" s="266">
        <v>9.3888075824099235E-2</v>
      </c>
      <c r="G235" s="266">
        <v>3.8615931423792597E-2</v>
      </c>
      <c r="H235" s="266">
        <v>0.45762192487281339</v>
      </c>
      <c r="I235" s="266">
        <v>0.60990288934180559</v>
      </c>
      <c r="J235" s="266">
        <v>0.39009711065819447</v>
      </c>
      <c r="K235" s="266">
        <v>-7.8611749947731548E-3</v>
      </c>
      <c r="L235" s="266">
        <v>3.4322949334448391E-2</v>
      </c>
      <c r="M235" s="266">
        <v>0.72194839495259611</v>
      </c>
      <c r="N235" s="266">
        <v>-5.171494830726036E-2</v>
      </c>
      <c r="O235" s="163">
        <v>1989.7383939958538</v>
      </c>
      <c r="P235" s="264">
        <v>1.2132970543002484</v>
      </c>
      <c r="S235" s="266"/>
    </row>
    <row r="236" spans="2:19" x14ac:dyDescent="0.2">
      <c r="B236" t="s">
        <v>256</v>
      </c>
      <c r="C236" s="266">
        <v>1.6041901243626887E-2</v>
      </c>
      <c r="D236" s="266">
        <v>0</v>
      </c>
      <c r="E236" s="266">
        <v>-0.20973230629368911</v>
      </c>
      <c r="F236" s="266">
        <v>6.3784567377977622E-2</v>
      </c>
      <c r="G236" s="266">
        <v>-1.6867529085123897E-2</v>
      </c>
      <c r="H236" s="266">
        <v>-0.19077691372129879</v>
      </c>
      <c r="I236" s="266">
        <v>0.22996134020618555</v>
      </c>
      <c r="J236" s="266">
        <v>0.77003865979381447</v>
      </c>
      <c r="K236" s="266">
        <v>-7.235961129743609E-3</v>
      </c>
      <c r="L236" s="266">
        <v>3.5863462696101918E-2</v>
      </c>
      <c r="M236" s="266">
        <v>0.38445751660789018</v>
      </c>
      <c r="N236" s="266">
        <v>4.4987712355770253E-3</v>
      </c>
      <c r="O236" s="163">
        <v>1510.0501826935476</v>
      </c>
      <c r="P236" s="264">
        <v>3.6099411582533292</v>
      </c>
      <c r="S236" s="266"/>
    </row>
    <row r="237" spans="2:19" x14ac:dyDescent="0.2">
      <c r="B237" t="s">
        <v>211</v>
      </c>
      <c r="C237" s="266">
        <v>4.6582739330967553E-3</v>
      </c>
      <c r="D237" s="266">
        <v>7.4024588550891252E-2</v>
      </c>
      <c r="E237" s="266">
        <v>0.40626003376523839</v>
      </c>
      <c r="F237" s="266">
        <v>8.7054241887538963E-2</v>
      </c>
      <c r="G237" s="266">
        <v>0.16005344436503743</v>
      </c>
      <c r="H237" s="266">
        <v>0.30947073506716799</v>
      </c>
      <c r="I237" s="266">
        <v>0.4643193574509577</v>
      </c>
      <c r="J237" s="266">
        <v>0.53568064254904224</v>
      </c>
      <c r="K237" s="266">
        <v>-2.1025593222094479E-3</v>
      </c>
      <c r="L237" s="266">
        <v>6.2921418140011803E-4</v>
      </c>
      <c r="M237" s="266">
        <v>0.61195464461714077</v>
      </c>
      <c r="N237" s="266">
        <v>-8.253226843808702E-4</v>
      </c>
      <c r="O237" s="163">
        <v>1607.0559345225081</v>
      </c>
      <c r="P237" s="264">
        <v>0.440058941164088</v>
      </c>
      <c r="S237" s="266"/>
    </row>
    <row r="238" spans="2:19" x14ac:dyDescent="0.2">
      <c r="B238" t="s">
        <v>212</v>
      </c>
      <c r="C238" s="266">
        <v>-1.8429872798696213E-2</v>
      </c>
      <c r="D238" s="266">
        <v>4.6273802086948472E-2</v>
      </c>
      <c r="E238" s="266">
        <v>0.68769810971518475</v>
      </c>
      <c r="F238" s="266">
        <v>0.21769510191804908</v>
      </c>
      <c r="G238" s="266">
        <v>0.22806043358552555</v>
      </c>
      <c r="H238" s="266">
        <v>0.56102103144304849</v>
      </c>
      <c r="I238" s="266">
        <v>0.66036141542019355</v>
      </c>
      <c r="J238" s="266">
        <v>0.33963858457980639</v>
      </c>
      <c r="K238" s="266">
        <v>2.3599639064343723E-2</v>
      </c>
      <c r="L238" s="266">
        <v>-3.2015686818907478E-2</v>
      </c>
      <c r="M238" s="266">
        <v>0.58877226229896318</v>
      </c>
      <c r="N238" s="266">
        <v>-1.859993974324094E-2</v>
      </c>
      <c r="O238" s="163">
        <v>1452.0184186201905</v>
      </c>
      <c r="P238" s="264">
        <v>0.68968152866242038</v>
      </c>
      <c r="S238" s="266"/>
    </row>
    <row r="239" spans="2:19" x14ac:dyDescent="0.2">
      <c r="B239" t="s">
        <v>213</v>
      </c>
      <c r="C239" s="266">
        <v>-2.193401616354684E-2</v>
      </c>
      <c r="D239" s="266">
        <v>3.5055241546369416E-2</v>
      </c>
      <c r="E239" s="266">
        <v>0.73860212300844874</v>
      </c>
      <c r="F239" s="266">
        <v>0.13311144809657915</v>
      </c>
      <c r="G239" s="266">
        <v>0.33706205565511943</v>
      </c>
      <c r="H239" s="266">
        <v>0.52874391949110822</v>
      </c>
      <c r="I239" s="266">
        <v>0.81855348249461091</v>
      </c>
      <c r="J239" s="266">
        <v>0.18144651750538912</v>
      </c>
      <c r="K239" s="266">
        <v>6.8928845737243239E-4</v>
      </c>
      <c r="L239" s="266">
        <v>-1.3190026980719617E-2</v>
      </c>
      <c r="M239" s="266">
        <v>0.57495277539037593</v>
      </c>
      <c r="N239" s="266">
        <v>1.5001794895841396E-2</v>
      </c>
      <c r="O239" s="163">
        <v>1599.1878516828294</v>
      </c>
      <c r="P239" s="264">
        <v>1.4545332075980062</v>
      </c>
      <c r="S239" s="266"/>
    </row>
    <row r="240" spans="2:19" x14ac:dyDescent="0.2">
      <c r="B240" t="s">
        <v>497</v>
      </c>
      <c r="C240" s="266">
        <v>8.636900244540012E-2</v>
      </c>
      <c r="D240" s="266">
        <v>0</v>
      </c>
      <c r="E240" s="266">
        <v>-1.0815947866226185</v>
      </c>
      <c r="F240" s="266">
        <v>8.2454631850477439E-2</v>
      </c>
      <c r="G240" s="266">
        <v>0</v>
      </c>
      <c r="H240" s="266">
        <v>-1.0717002308005612</v>
      </c>
      <c r="I240" s="266">
        <v>7.7016154711613979E-2</v>
      </c>
      <c r="J240" s="266">
        <v>0.92298384528838606</v>
      </c>
      <c r="K240" s="266">
        <v>-1.9052360048875411E-2</v>
      </c>
      <c r="L240" s="266">
        <v>0.11524188803910033</v>
      </c>
      <c r="M240" s="266">
        <v>0.68619123840196172</v>
      </c>
      <c r="N240" s="266">
        <v>-2.6213322941718293E-3</v>
      </c>
      <c r="O240" s="163">
        <v>1691.1871501272265</v>
      </c>
      <c r="P240" s="264">
        <v>3.8007868383404864</v>
      </c>
      <c r="S240" s="266"/>
    </row>
    <row r="241" spans="2:19" x14ac:dyDescent="0.2">
      <c r="B241" t="s">
        <v>257</v>
      </c>
      <c r="C241" s="266">
        <v>6.1185347551842705E-2</v>
      </c>
      <c r="D241" s="266">
        <v>3.4127649383307389E-2</v>
      </c>
      <c r="E241" s="266">
        <v>0.47817626631541132</v>
      </c>
      <c r="F241" s="266">
        <v>0.13267872111124415</v>
      </c>
      <c r="G241" s="266">
        <v>9.0393366063944436E-2</v>
      </c>
      <c r="H241" s="266">
        <v>0.43353415758591785</v>
      </c>
      <c r="I241" s="266">
        <v>0.43845447433760759</v>
      </c>
      <c r="J241" s="266">
        <v>0.56154552566239246</v>
      </c>
      <c r="K241" s="266">
        <v>-3.1897377559573704E-2</v>
      </c>
      <c r="L241" s="266">
        <v>6.2851754280924446E-2</v>
      </c>
      <c r="M241" s="266">
        <v>0.73624049997336294</v>
      </c>
      <c r="N241" s="266">
        <v>6.6813867843098741E-3</v>
      </c>
      <c r="O241" s="163">
        <v>1279.5247603941687</v>
      </c>
      <c r="P241" s="264">
        <v>0.6621111310915303</v>
      </c>
      <c r="S241" s="266"/>
    </row>
    <row r="242" spans="2:19" x14ac:dyDescent="0.2">
      <c r="B242" t="s">
        <v>456</v>
      </c>
      <c r="C242" s="266">
        <v>7.8860501718047912E-2</v>
      </c>
      <c r="D242" s="266">
        <v>1.1841256120449258E-4</v>
      </c>
      <c r="E242" s="266">
        <v>0.41655762843322419</v>
      </c>
      <c r="F242" s="266">
        <v>0.1065653844559831</v>
      </c>
      <c r="G242" s="266">
        <v>0.19485971071811298</v>
      </c>
      <c r="H242" s="266">
        <v>0.29878946838680642</v>
      </c>
      <c r="I242" s="266">
        <v>0.42520559712960115</v>
      </c>
      <c r="J242" s="266">
        <v>0.57479440287039885</v>
      </c>
      <c r="K242" s="266">
        <v>3.5387593915962606E-2</v>
      </c>
      <c r="L242" s="266">
        <v>7.7355965920864883E-2</v>
      </c>
      <c r="M242" s="266">
        <v>0.53236389382678306</v>
      </c>
      <c r="N242" s="266">
        <v>6.8003176159046738E-3</v>
      </c>
      <c r="O242" s="163">
        <v>2433.6785876492563</v>
      </c>
      <c r="P242" s="264">
        <v>1.413807844394571</v>
      </c>
      <c r="S242" s="266"/>
    </row>
    <row r="243" spans="2:19" x14ac:dyDescent="0.2">
      <c r="B243" t="s">
        <v>191</v>
      </c>
      <c r="C243" s="266">
        <v>-3.1863247863247865E-3</v>
      </c>
      <c r="D243" s="266">
        <v>0</v>
      </c>
      <c r="E243" s="266">
        <v>0.26927580733300371</v>
      </c>
      <c r="F243" s="266">
        <v>9.0790809024434677E-2</v>
      </c>
      <c r="G243" s="266">
        <v>3.049780113976424E-2</v>
      </c>
      <c r="H243" s="266">
        <v>0.25973717765229387</v>
      </c>
      <c r="I243" s="266">
        <v>0.47388307196664614</v>
      </c>
      <c r="J243" s="266">
        <v>0.52611692803335386</v>
      </c>
      <c r="K243" s="266">
        <v>1.8944026646542975E-2</v>
      </c>
      <c r="L243" s="266">
        <v>-6.850295349865987E-3</v>
      </c>
      <c r="M243" s="266">
        <v>0.64789374138726952</v>
      </c>
      <c r="N243" s="266">
        <v>2.6088261327734574E-2</v>
      </c>
      <c r="O243" s="163">
        <v>1683.3309752182595</v>
      </c>
      <c r="P243" s="264">
        <v>1.3379743716116312</v>
      </c>
      <c r="S243" s="266"/>
    </row>
    <row r="244" spans="2:19" ht="15" x14ac:dyDescent="0.25">
      <c r="B244" t="s">
        <v>330</v>
      </c>
      <c r="C244" s="266">
        <v>-2.5516976878425999E-2</v>
      </c>
      <c r="D244" s="271">
        <v>0</v>
      </c>
      <c r="E244" s="271">
        <v>1.4709169283167474</v>
      </c>
      <c r="F244" s="271">
        <v>2.2776861263370762E-2</v>
      </c>
      <c r="G244" s="271">
        <v>0.12484700122399021</v>
      </c>
      <c r="H244" s="271">
        <v>1.3900026608482783</v>
      </c>
      <c r="I244" s="271">
        <v>0.81084285678246171</v>
      </c>
      <c r="J244" s="271">
        <v>0.18915714321753829</v>
      </c>
      <c r="K244" s="271">
        <v>-1.5805438773881113E-2</v>
      </c>
      <c r="L244" s="271">
        <v>-2.7140652439997873E-2</v>
      </c>
      <c r="M244" s="271">
        <v>0.5787075367877812</v>
      </c>
      <c r="N244" s="271">
        <v>2.1466366306445116E-2</v>
      </c>
      <c r="O244" s="272">
        <v>1790.70468248213</v>
      </c>
      <c r="P244" s="264">
        <v>1.429115531104528</v>
      </c>
      <c r="S244" s="266"/>
    </row>
    <row r="245" spans="2:19" x14ac:dyDescent="0.2">
      <c r="B245" t="s">
        <v>331</v>
      </c>
      <c r="C245" s="266">
        <v>1.6939397773795772E-2</v>
      </c>
      <c r="D245" s="266">
        <v>1.2602628644795081E-2</v>
      </c>
      <c r="E245" s="266">
        <v>-0.11224110551745109</v>
      </c>
      <c r="F245" s="266">
        <v>9.744230834206169E-2</v>
      </c>
      <c r="G245" s="266">
        <v>0.23451701185931006</v>
      </c>
      <c r="H245" s="266">
        <v>-0.25767442646214145</v>
      </c>
      <c r="I245" s="266">
        <v>0.15624802077395655</v>
      </c>
      <c r="J245" s="266">
        <v>0.8437519792260435</v>
      </c>
      <c r="K245" s="266">
        <v>4.1524478832314089E-2</v>
      </c>
      <c r="L245" s="266">
        <v>-9.6378011284927526E-3</v>
      </c>
      <c r="M245" s="266">
        <v>0.46790548144621641</v>
      </c>
      <c r="N245" s="266">
        <v>2.5036324227638712E-2</v>
      </c>
      <c r="O245" s="163">
        <v>1764.3102670519218</v>
      </c>
      <c r="P245" s="264">
        <v>2.3855222824805469</v>
      </c>
      <c r="S245" s="266"/>
    </row>
    <row r="246" spans="2:19" x14ac:dyDescent="0.2">
      <c r="B246" t="s">
        <v>192</v>
      </c>
      <c r="C246" s="266">
        <v>-1.3127918897368722E-2</v>
      </c>
      <c r="D246" s="266">
        <v>9.5685931434195418E-2</v>
      </c>
      <c r="E246" s="266">
        <v>0.41184591831155337</v>
      </c>
      <c r="F246" s="266">
        <v>0.18639619443381267</v>
      </c>
      <c r="G246" s="266">
        <v>4.5942916507190117E-2</v>
      </c>
      <c r="H246" s="266">
        <v>0.40343170758379354</v>
      </c>
      <c r="I246" s="266">
        <v>0.59414338746137418</v>
      </c>
      <c r="J246" s="266">
        <v>0.40585661253862587</v>
      </c>
      <c r="K246" s="266">
        <v>-4.756957734157144E-3</v>
      </c>
      <c r="L246" s="266">
        <v>5.1260320411176119E-3</v>
      </c>
      <c r="M246" s="266">
        <v>0.70828916059157498</v>
      </c>
      <c r="N246" s="266">
        <v>1.1551793773882619E-2</v>
      </c>
      <c r="O246" s="163">
        <v>2202.4440790713325</v>
      </c>
      <c r="P246" s="264">
        <v>0.68241641873833891</v>
      </c>
      <c r="S246" s="266"/>
    </row>
    <row r="247" spans="2:19" x14ac:dyDescent="0.2">
      <c r="B247" t="s">
        <v>457</v>
      </c>
      <c r="C247" s="266">
        <v>2.2231635273078972E-2</v>
      </c>
      <c r="D247" s="266">
        <v>2.6771355909161746E-2</v>
      </c>
      <c r="E247" s="266">
        <v>0.36723244393897697</v>
      </c>
      <c r="F247" s="266">
        <v>0.15691449678538152</v>
      </c>
      <c r="G247" s="266">
        <v>0.17614915564456499</v>
      </c>
      <c r="H247" s="266">
        <v>0.26804224927136422</v>
      </c>
      <c r="I247" s="266">
        <v>0.57392257013842618</v>
      </c>
      <c r="J247" s="266">
        <v>0.42607742986157376</v>
      </c>
      <c r="K247" s="266">
        <v>-1.1048075042027115E-2</v>
      </c>
      <c r="L247" s="266">
        <v>1.6965490428028508E-2</v>
      </c>
      <c r="M247" s="266">
        <v>0.62514000735879449</v>
      </c>
      <c r="N247" s="266">
        <v>2.2043772835141483E-3</v>
      </c>
      <c r="O247" s="163">
        <v>1793.7899602717896</v>
      </c>
      <c r="P247" s="264">
        <v>0.87404844290657435</v>
      </c>
      <c r="S247" s="266"/>
    </row>
    <row r="248" spans="2:19" x14ac:dyDescent="0.2">
      <c r="B248" t="s">
        <v>382</v>
      </c>
      <c r="C248" s="266">
        <v>-1.0369159701697038E-2</v>
      </c>
      <c r="D248" s="266">
        <v>0</v>
      </c>
      <c r="E248" s="266">
        <v>0.2444280239891396</v>
      </c>
      <c r="F248" s="266">
        <v>4.3561940439571768E-2</v>
      </c>
      <c r="G248" s="266">
        <v>-1.5070541130376506E-2</v>
      </c>
      <c r="H248" s="266">
        <v>0.25975271939924049</v>
      </c>
      <c r="I248" s="266">
        <v>0.39545746929273745</v>
      </c>
      <c r="J248" s="266">
        <v>0.60454253070726249</v>
      </c>
      <c r="K248" s="266">
        <v>9.3086797381128308E-2</v>
      </c>
      <c r="L248" s="266">
        <v>-1.3841871015414226E-2</v>
      </c>
      <c r="M248" s="266">
        <v>0.52695652143806304</v>
      </c>
      <c r="N248" s="266">
        <v>-2.0335842789101145E-2</v>
      </c>
      <c r="O248" s="163">
        <v>1435.5042687648308</v>
      </c>
      <c r="P248" s="264">
        <v>1.329518779342723</v>
      </c>
      <c r="S248" s="266"/>
    </row>
    <row r="249" spans="2:19" x14ac:dyDescent="0.2">
      <c r="B249" t="s">
        <v>258</v>
      </c>
      <c r="C249" s="266">
        <v>7.1587651027636617E-2</v>
      </c>
      <c r="D249" s="266">
        <v>1.1392895169877069E-2</v>
      </c>
      <c r="E249" s="266">
        <v>1.1744168037944052</v>
      </c>
      <c r="F249" s="266">
        <v>0.15391540025166972</v>
      </c>
      <c r="G249" s="266">
        <v>0.11084115768076662</v>
      </c>
      <c r="H249" s="266">
        <v>1.1186230761784919</v>
      </c>
      <c r="I249" s="266">
        <v>0.81154605263157897</v>
      </c>
      <c r="J249" s="266">
        <v>0.18845394736842105</v>
      </c>
      <c r="K249" s="266">
        <v>1.5303455619010744E-2</v>
      </c>
      <c r="L249" s="266">
        <v>6.6818313812796432E-2</v>
      </c>
      <c r="M249" s="266">
        <v>0.63120897882417959</v>
      </c>
      <c r="N249" s="266">
        <v>-2.7877597360757072E-3</v>
      </c>
      <c r="O249" s="163">
        <v>1281.8656923349085</v>
      </c>
      <c r="P249" s="264">
        <v>0.67500312617231462</v>
      </c>
      <c r="S249" s="266"/>
    </row>
    <row r="250" spans="2:19" x14ac:dyDescent="0.2">
      <c r="B250" t="s">
        <v>332</v>
      </c>
      <c r="C250" s="266">
        <v>5.2801185460258519E-2</v>
      </c>
      <c r="D250" s="266">
        <v>0</v>
      </c>
      <c r="E250" s="266">
        <v>-0.31705405087602401</v>
      </c>
      <c r="F250" s="266">
        <v>5.0954415396072591E-4</v>
      </c>
      <c r="G250" s="266">
        <v>-3.4217849723670285E-2</v>
      </c>
      <c r="H250" s="266">
        <v>-0.29406694626268964</v>
      </c>
      <c r="I250" s="266">
        <v>0.21130378933847141</v>
      </c>
      <c r="J250" s="266">
        <v>0.78869621066152862</v>
      </c>
      <c r="K250" s="266">
        <v>-0.15964410300631052</v>
      </c>
      <c r="L250" s="266">
        <v>6.0625955395288679E-2</v>
      </c>
      <c r="M250" s="266">
        <v>0.62248369308942331</v>
      </c>
      <c r="N250" s="266">
        <v>2.4001674300447903E-2</v>
      </c>
      <c r="O250" s="163">
        <v>1624.3158742925229</v>
      </c>
      <c r="P250" s="264">
        <v>2.1157778391820945</v>
      </c>
      <c r="S250" s="266"/>
    </row>
    <row r="251" spans="2:19" x14ac:dyDescent="0.2">
      <c r="B251" t="s">
        <v>288</v>
      </c>
      <c r="C251" s="266">
        <v>4.862209140805706E-2</v>
      </c>
      <c r="D251" s="266">
        <v>0</v>
      </c>
      <c r="E251" s="266">
        <v>0.14935859661846698</v>
      </c>
      <c r="F251" s="266">
        <v>1.7904900049861748E-2</v>
      </c>
      <c r="G251" s="266">
        <v>1.495852409228956E-3</v>
      </c>
      <c r="H251" s="266">
        <v>0.15050496351026699</v>
      </c>
      <c r="I251" s="266">
        <v>0.45146546306347485</v>
      </c>
      <c r="J251" s="266">
        <v>0.54853453693652521</v>
      </c>
      <c r="K251" s="266">
        <v>-1.0652282308145597E-2</v>
      </c>
      <c r="L251" s="266">
        <v>-7.7569013190698519E-2</v>
      </c>
      <c r="M251" s="266">
        <v>0.58144063615565333</v>
      </c>
      <c r="N251" s="266">
        <v>2.305380966069541E-2</v>
      </c>
      <c r="O251" s="163">
        <v>1388.5520196367206</v>
      </c>
      <c r="P251" s="264">
        <v>1.5617352614015574</v>
      </c>
      <c r="S251" s="266"/>
    </row>
    <row r="252" spans="2:19" x14ac:dyDescent="0.2">
      <c r="B252" t="s">
        <v>259</v>
      </c>
      <c r="C252" s="266">
        <v>-3.1009067941330953E-3</v>
      </c>
      <c r="D252" s="266">
        <v>9.6402527545377495E-2</v>
      </c>
      <c r="E252" s="266">
        <v>0.56255506977602865</v>
      </c>
      <c r="F252" s="266">
        <v>5.697047001267129E-2</v>
      </c>
      <c r="G252" s="266">
        <v>8.7398356927672935E-2</v>
      </c>
      <c r="H252" s="266">
        <v>0.51083462703600835</v>
      </c>
      <c r="I252" s="266">
        <v>0.58696643071643073</v>
      </c>
      <c r="J252" s="266">
        <v>0.41303356928356927</v>
      </c>
      <c r="K252" s="266">
        <v>0.13126117129742296</v>
      </c>
      <c r="L252" s="266">
        <v>7.8671108612283602E-4</v>
      </c>
      <c r="M252" s="266">
        <v>0.54049421104447881</v>
      </c>
      <c r="N252" s="266">
        <v>3.3253101039638466E-2</v>
      </c>
      <c r="O252" s="163">
        <v>1203.1028061956613</v>
      </c>
      <c r="P252" s="264">
        <v>0.45143589406584739</v>
      </c>
      <c r="S252" s="266"/>
    </row>
    <row r="253" spans="2:19" x14ac:dyDescent="0.2">
      <c r="B253" t="s">
        <v>383</v>
      </c>
      <c r="C253" s="266">
        <v>3.6806060037963113E-2</v>
      </c>
      <c r="D253" s="266">
        <v>0.28237643534697954</v>
      </c>
      <c r="E253" s="266">
        <v>0.73608587119321023</v>
      </c>
      <c r="F253" s="266">
        <v>0.10096854717923115</v>
      </c>
      <c r="G253" s="266">
        <v>0.1437443834248627</v>
      </c>
      <c r="H253" s="266">
        <v>0.65189335996005993</v>
      </c>
      <c r="I253" s="266">
        <v>0.67002249640197298</v>
      </c>
      <c r="J253" s="266">
        <v>0.32997750359802702</v>
      </c>
      <c r="K253" s="266">
        <v>6.2296555167249128E-2</v>
      </c>
      <c r="L253" s="266">
        <v>5.8851722416375436E-2</v>
      </c>
      <c r="M253" s="266">
        <v>0.47360901194550031</v>
      </c>
      <c r="N253" s="266">
        <v>8.2184838045147573E-3</v>
      </c>
      <c r="O253" s="163">
        <v>1505.6219383014309</v>
      </c>
      <c r="P253" s="264">
        <v>0.31129562901456997</v>
      </c>
      <c r="S253" s="266"/>
    </row>
    <row r="254" spans="2:19" x14ac:dyDescent="0.2">
      <c r="B254" t="s">
        <v>498</v>
      </c>
      <c r="C254" s="266">
        <v>7.2085012079610364E-2</v>
      </c>
      <c r="D254" s="266">
        <v>0.1179477118784074</v>
      </c>
      <c r="E254" s="266">
        <v>0.7993556913926978</v>
      </c>
      <c r="F254" s="266">
        <v>0.1289649760449364</v>
      </c>
      <c r="G254" s="266">
        <v>0.13341524863703949</v>
      </c>
      <c r="H254" s="266">
        <v>0.72544327193127367</v>
      </c>
      <c r="I254" s="266">
        <v>0.59180810772899428</v>
      </c>
      <c r="J254" s="266">
        <v>0.40819189227100577</v>
      </c>
      <c r="K254" s="266">
        <v>-4.8829093011729718E-2</v>
      </c>
      <c r="L254" s="266">
        <v>7.6896270444407736E-2</v>
      </c>
      <c r="M254" s="266">
        <v>0.62223227092470157</v>
      </c>
      <c r="N254" s="266">
        <v>2.0220393690598391E-2</v>
      </c>
      <c r="O254" s="163">
        <v>1309.8765138164877</v>
      </c>
      <c r="P254" s="264">
        <v>0.50290221099738575</v>
      </c>
      <c r="S254" s="266"/>
    </row>
    <row r="255" spans="2:19" ht="15" x14ac:dyDescent="0.25">
      <c r="B255" t="s">
        <v>171</v>
      </c>
      <c r="C255" s="266">
        <v>-4.9659198351549493E-2</v>
      </c>
      <c r="D255" s="271">
        <v>4.7759406806981992E-2</v>
      </c>
      <c r="E255" s="271">
        <v>0.25102473172753648</v>
      </c>
      <c r="F255" s="271">
        <v>9.2110717081932483E-3</v>
      </c>
      <c r="G255" s="271">
        <v>6.4730806429328047E-2</v>
      </c>
      <c r="H255" s="271">
        <v>0.20876042002486989</v>
      </c>
      <c r="I255" s="271">
        <v>0.56394458492111543</v>
      </c>
      <c r="J255" s="271">
        <v>0.43605541507888457</v>
      </c>
      <c r="K255" s="271">
        <v>-0.11707272141113619</v>
      </c>
      <c r="L255" s="271">
        <v>-4.5065168332335467E-2</v>
      </c>
      <c r="M255" s="271">
        <v>0.80321187042242548</v>
      </c>
      <c r="N255" s="271">
        <v>-2.2257031127845599E-2</v>
      </c>
      <c r="O255" s="272">
        <v>1975.0863946445647</v>
      </c>
      <c r="P255" s="264">
        <v>0.81152675854662615</v>
      </c>
      <c r="S255" s="266"/>
    </row>
    <row r="256" spans="2:19" x14ac:dyDescent="0.2">
      <c r="B256" t="s">
        <v>384</v>
      </c>
      <c r="C256" s="266">
        <v>2.2615276311158044E-2</v>
      </c>
      <c r="D256" s="266">
        <v>0</v>
      </c>
      <c r="E256" s="266">
        <v>1.0535596071620494</v>
      </c>
      <c r="F256" s="266">
        <v>1.3021908270313631E-2</v>
      </c>
      <c r="G256" s="266">
        <v>0.49776088598820861</v>
      </c>
      <c r="H256" s="266">
        <v>0.72162244254238717</v>
      </c>
      <c r="I256" s="266">
        <v>0.73469215155615697</v>
      </c>
      <c r="J256" s="266">
        <v>0.26530784844384303</v>
      </c>
      <c r="K256" s="266">
        <v>1.4984540378040328E-2</v>
      </c>
      <c r="L256" s="266">
        <v>4.452721594404941E-2</v>
      </c>
      <c r="M256" s="266">
        <v>0.45866743037643054</v>
      </c>
      <c r="N256" s="266">
        <v>2.1882444631473555E-2</v>
      </c>
      <c r="O256" s="163">
        <v>1291.813807480539</v>
      </c>
      <c r="P256" s="264">
        <v>2.6152440138914277</v>
      </c>
      <c r="S256" s="266"/>
    </row>
    <row r="257" spans="2:19" x14ac:dyDescent="0.2">
      <c r="B257" t="s">
        <v>333</v>
      </c>
      <c r="C257" s="266">
        <v>1.6163416433993449E-2</v>
      </c>
      <c r="D257" s="266">
        <v>3.9478089188377183E-2</v>
      </c>
      <c r="E257" s="266">
        <v>1.1753508734280442</v>
      </c>
      <c r="F257" s="266">
        <v>8.4552985106656944E-2</v>
      </c>
      <c r="G257" s="266">
        <v>0.22603974419502984</v>
      </c>
      <c r="H257" s="266">
        <v>1.034050603030173</v>
      </c>
      <c r="I257" s="266">
        <v>0.89130332507714238</v>
      </c>
      <c r="J257" s="266">
        <v>0.10869667492285766</v>
      </c>
      <c r="K257" s="266">
        <v>1.3331044250826216E-2</v>
      </c>
      <c r="L257" s="266">
        <v>1.6575818704665436E-2</v>
      </c>
      <c r="M257" s="266">
        <v>0.63012637637185598</v>
      </c>
      <c r="N257" s="266">
        <v>1.3200557703619224E-2</v>
      </c>
      <c r="O257" s="163">
        <v>1695.49708016772</v>
      </c>
      <c r="P257" s="264">
        <v>0.7504275303217659</v>
      </c>
      <c r="S257" s="266"/>
    </row>
    <row r="258" spans="2:19" x14ac:dyDescent="0.2">
      <c r="B258" t="s">
        <v>260</v>
      </c>
      <c r="C258" s="266">
        <v>-2.0121017008319919E-3</v>
      </c>
      <c r="D258" s="266">
        <v>0</v>
      </c>
      <c r="E258" s="266">
        <v>-0.61576674266436815</v>
      </c>
      <c r="F258" s="266">
        <v>0.21633394502215056</v>
      </c>
      <c r="G258" s="266">
        <v>1.558879682663256E-2</v>
      </c>
      <c r="H258" s="266">
        <v>-0.60025116313555393</v>
      </c>
      <c r="I258" s="266">
        <v>0.16320998550085103</v>
      </c>
      <c r="J258" s="266">
        <v>0.83679001449914892</v>
      </c>
      <c r="K258" s="266">
        <v>5.3791543865502604E-2</v>
      </c>
      <c r="L258" s="266">
        <v>2.6849431870840979E-2</v>
      </c>
      <c r="M258" s="266">
        <v>0.58344710228924102</v>
      </c>
      <c r="N258" s="266">
        <v>6.009497539720491E-2</v>
      </c>
      <c r="O258" s="163">
        <v>1199.7503898763207</v>
      </c>
      <c r="P258" s="264">
        <v>5.3026902382782479</v>
      </c>
      <c r="S258" s="266"/>
    </row>
    <row r="259" spans="2:19" x14ac:dyDescent="0.2">
      <c r="B259" t="s">
        <v>214</v>
      </c>
      <c r="C259" s="266">
        <v>3.435226643501748E-2</v>
      </c>
      <c r="D259" s="266">
        <v>6.2432920006394006E-2</v>
      </c>
      <c r="E259" s="266">
        <v>0.74895526478043428</v>
      </c>
      <c r="F259" s="266">
        <v>8.3544563951496884E-2</v>
      </c>
      <c r="G259" s="266">
        <v>0.32457582608298507</v>
      </c>
      <c r="H259" s="266">
        <v>0.54151480897901383</v>
      </c>
      <c r="I259" s="266">
        <v>0.60200973312782924</v>
      </c>
      <c r="J259" s="266">
        <v>0.39799026687217076</v>
      </c>
      <c r="K259" s="266">
        <v>3.6046219542828432E-2</v>
      </c>
      <c r="L259" s="266">
        <v>5.4334794820853599E-2</v>
      </c>
      <c r="M259" s="266">
        <v>0.59673081108642245</v>
      </c>
      <c r="N259" s="266">
        <v>2.7798176396560507E-3</v>
      </c>
      <c r="O259" s="163">
        <v>1413.5231220701803</v>
      </c>
      <c r="P259" s="264">
        <v>1.7676950998185117</v>
      </c>
      <c r="S259" s="266"/>
    </row>
    <row r="260" spans="2:19" x14ac:dyDescent="0.2">
      <c r="B260" t="s">
        <v>409</v>
      </c>
      <c r="C260" s="266">
        <v>-1.171228911677142E-2</v>
      </c>
      <c r="D260" s="266">
        <v>0</v>
      </c>
      <c r="E260" s="266">
        <v>0.51895881574594771</v>
      </c>
      <c r="F260" s="266">
        <v>4.1887198147535561E-2</v>
      </c>
      <c r="G260" s="266">
        <v>5.3258352629837906E-2</v>
      </c>
      <c r="H260" s="266">
        <v>0.48830218326166053</v>
      </c>
      <c r="I260" s="266">
        <v>0.47264919862151961</v>
      </c>
      <c r="J260" s="266">
        <v>0.52735080137848034</v>
      </c>
      <c r="K260" s="266">
        <v>3.0474694012570296E-2</v>
      </c>
      <c r="L260" s="266">
        <v>-1.7914737016209065E-2</v>
      </c>
      <c r="M260" s="266">
        <v>0.63120415022479159</v>
      </c>
      <c r="N260" s="266">
        <v>1.4870199884498496E-2</v>
      </c>
      <c r="O260" s="163">
        <v>1296.8957588766659</v>
      </c>
      <c r="P260" s="264">
        <v>1.5340486999587288</v>
      </c>
      <c r="S260" s="266"/>
    </row>
    <row r="261" spans="2:19" x14ac:dyDescent="0.2">
      <c r="B261" t="s">
        <v>261</v>
      </c>
      <c r="C261" s="266">
        <v>1.6281862652632637E-2</v>
      </c>
      <c r="D261" s="266">
        <v>0</v>
      </c>
      <c r="E261" s="266">
        <v>0.13052458202068001</v>
      </c>
      <c r="F261" s="266">
        <v>5.773931685381508E-2</v>
      </c>
      <c r="G261" s="266">
        <v>4.2614936142956118E-2</v>
      </c>
      <c r="H261" s="266">
        <v>0.10890129282735722</v>
      </c>
      <c r="I261" s="266">
        <v>0.47842239185750635</v>
      </c>
      <c r="J261" s="266">
        <v>0.52157760814249365</v>
      </c>
      <c r="K261" s="266">
        <v>-1.5869488490045623E-2</v>
      </c>
      <c r="L261" s="266">
        <v>3.4605027516699562E-2</v>
      </c>
      <c r="M261" s="266">
        <v>0.68617570095073477</v>
      </c>
      <c r="N261" s="266">
        <v>2.063296178966359E-2</v>
      </c>
      <c r="O261" s="163">
        <v>1662.3703715968795</v>
      </c>
      <c r="P261" s="264">
        <v>1.6658529580700747</v>
      </c>
      <c r="S261" s="266"/>
    </row>
    <row r="262" spans="2:19" x14ac:dyDescent="0.2">
      <c r="B262" t="s">
        <v>289</v>
      </c>
      <c r="C262" s="266">
        <v>-2.5934987690724158E-2</v>
      </c>
      <c r="D262" s="266">
        <v>0</v>
      </c>
      <c r="E262" s="266">
        <v>0.40907275320970043</v>
      </c>
      <c r="F262" s="266">
        <v>4.6105563480741796E-2</v>
      </c>
      <c r="G262" s="266">
        <v>0.23794579172610555</v>
      </c>
      <c r="H262" s="266">
        <v>0.25518174037089869</v>
      </c>
      <c r="I262" s="266">
        <v>0.46439075977395156</v>
      </c>
      <c r="J262" s="266">
        <v>0.5356092402260485</v>
      </c>
      <c r="K262" s="266">
        <v>0.19223965763195436</v>
      </c>
      <c r="L262" s="266">
        <v>0.19582025677603423</v>
      </c>
      <c r="M262" s="266">
        <v>0.31835068023560503</v>
      </c>
      <c r="N262" s="266">
        <v>2.77719156368075E-2</v>
      </c>
      <c r="O262" s="163">
        <v>1743.3419917663202</v>
      </c>
      <c r="P262" s="264">
        <v>1.7699764982373678</v>
      </c>
      <c r="S262" s="266"/>
    </row>
    <row r="263" spans="2:19" x14ac:dyDescent="0.2">
      <c r="B263" t="s">
        <v>458</v>
      </c>
      <c r="C263" s="266">
        <v>-4.5085246507047452E-3</v>
      </c>
      <c r="D263" s="266">
        <v>3.5277996443044989E-2</v>
      </c>
      <c r="E263" s="266">
        <v>0.836963176769002</v>
      </c>
      <c r="F263" s="266">
        <v>2.0175515321146389E-2</v>
      </c>
      <c r="G263" s="266">
        <v>0.43260736464619959</v>
      </c>
      <c r="H263" s="266">
        <v>0.5495373042945858</v>
      </c>
      <c r="I263" s="266">
        <v>0.77710093374833256</v>
      </c>
      <c r="J263" s="266">
        <v>0.22289906625166742</v>
      </c>
      <c r="K263" s="266">
        <v>-3.9651301787224117E-3</v>
      </c>
      <c r="L263" s="266">
        <v>-9.4026064899851308E-4</v>
      </c>
      <c r="M263" s="266">
        <v>0.51866306400168782</v>
      </c>
      <c r="N263" s="266">
        <v>2.0839787957020416E-2</v>
      </c>
      <c r="O263" s="163">
        <v>1426.6920220018594</v>
      </c>
      <c r="P263" s="264">
        <v>1.0796477886732039</v>
      </c>
      <c r="S263" s="266"/>
    </row>
    <row r="264" spans="2:19" x14ac:dyDescent="0.2">
      <c r="B264" t="s">
        <v>262</v>
      </c>
      <c r="C264" s="266">
        <v>4.3627281036275965E-2</v>
      </c>
      <c r="D264" s="266">
        <v>1.2508061369915365E-2</v>
      </c>
      <c r="E264" s="266">
        <v>0.43871368402614669</v>
      </c>
      <c r="F264" s="266">
        <v>2.3981082651931943E-2</v>
      </c>
      <c r="G264" s="266">
        <v>1.5947579200471341E-2</v>
      </c>
      <c r="H264" s="266">
        <v>0.43090653588006272</v>
      </c>
      <c r="I264" s="266">
        <v>0.57004406668025787</v>
      </c>
      <c r="J264" s="266">
        <v>0.42995593331974219</v>
      </c>
      <c r="K264" s="266">
        <v>-5.8997285010230971E-3</v>
      </c>
      <c r="L264" s="266">
        <v>2.3786017404597171E-2</v>
      </c>
      <c r="M264" s="266">
        <v>0.64870890821446592</v>
      </c>
      <c r="N264" s="266">
        <v>7.214230679160316E-3</v>
      </c>
      <c r="O264" s="163">
        <v>1564.5693163802978</v>
      </c>
      <c r="P264" s="264">
        <v>0.8327243662936743</v>
      </c>
      <c r="S264" s="266"/>
    </row>
    <row r="265" spans="2:19" x14ac:dyDescent="0.2">
      <c r="B265" t="s">
        <v>290</v>
      </c>
      <c r="C265" s="266">
        <v>4.4338768648381752E-2</v>
      </c>
      <c r="D265" s="266">
        <v>0</v>
      </c>
      <c r="E265" s="266">
        <v>0.60801880206636572</v>
      </c>
      <c r="F265" s="266">
        <v>0.17948061618653138</v>
      </c>
      <c r="G265" s="266">
        <v>4.295620607809373E-2</v>
      </c>
      <c r="H265" s="266">
        <v>0.60077581793642676</v>
      </c>
      <c r="I265" s="266">
        <v>0.62366786725362033</v>
      </c>
      <c r="J265" s="266">
        <v>0.37633213274637972</v>
      </c>
      <c r="K265" s="266">
        <v>3.1414343556569087E-2</v>
      </c>
      <c r="L265" s="266">
        <v>5.1339181830874485E-2</v>
      </c>
      <c r="M265" s="266">
        <v>0.62522879147805221</v>
      </c>
      <c r="N265" s="266">
        <v>6.1852159063848443E-4</v>
      </c>
      <c r="O265" s="163">
        <v>1407.3116875957121</v>
      </c>
      <c r="P265" s="264">
        <v>1.0300187617260788</v>
      </c>
      <c r="S265" s="266"/>
    </row>
    <row r="266" spans="2:19" x14ac:dyDescent="0.2">
      <c r="B266" t="s">
        <v>385</v>
      </c>
      <c r="C266" s="266">
        <v>-1.4145374650735641E-2</v>
      </c>
      <c r="D266" s="266">
        <v>0</v>
      </c>
      <c r="E266" s="266">
        <v>0.46570589805177476</v>
      </c>
      <c r="F266" s="266">
        <v>2.4357263588648696E-2</v>
      </c>
      <c r="G266" s="266">
        <v>0.30829107730628946</v>
      </c>
      <c r="H266" s="266">
        <v>0.26207374788719867</v>
      </c>
      <c r="I266" s="266">
        <v>0.49596510805073213</v>
      </c>
      <c r="J266" s="266">
        <v>0.50403489194926787</v>
      </c>
      <c r="K266" s="266">
        <v>-1.6537674584111733E-2</v>
      </c>
      <c r="L266" s="266">
        <v>-2.9205586691575483E-2</v>
      </c>
      <c r="M266" s="266">
        <v>0.61406914599246987</v>
      </c>
      <c r="N266" s="266">
        <v>3.9463833015157285E-3</v>
      </c>
      <c r="O266" s="163">
        <v>1573.3764757437625</v>
      </c>
      <c r="P266" s="264">
        <v>1.068350936149784</v>
      </c>
      <c r="S266" s="266"/>
    </row>
    <row r="267" spans="2:19" x14ac:dyDescent="0.2">
      <c r="B267" t="s">
        <v>215</v>
      </c>
      <c r="C267" s="266">
        <v>1.7688212755857455E-3</v>
      </c>
      <c r="D267" s="266">
        <v>0</v>
      </c>
      <c r="E267" s="266">
        <v>0.48693245515695066</v>
      </c>
      <c r="F267" s="266">
        <v>9.9717395366218237E-2</v>
      </c>
      <c r="G267" s="266">
        <v>0.20199224588938713</v>
      </c>
      <c r="H267" s="266">
        <v>0.36356373785500745</v>
      </c>
      <c r="I267" s="266">
        <v>0.45253007705132248</v>
      </c>
      <c r="J267" s="266">
        <v>0.54746992294867747</v>
      </c>
      <c r="K267" s="266">
        <v>1.2600429745889387E-2</v>
      </c>
      <c r="L267" s="266">
        <v>7.9789097533632287E-3</v>
      </c>
      <c r="M267" s="266">
        <v>0.62202067907458058</v>
      </c>
      <c r="N267" s="266">
        <v>9.4398956252160666E-3</v>
      </c>
      <c r="O267" s="163">
        <v>2546.3865752126176</v>
      </c>
      <c r="P267" s="264">
        <v>0.97890212932213327</v>
      </c>
      <c r="S267" s="266"/>
    </row>
    <row r="268" spans="2:19" ht="15" x14ac:dyDescent="0.25">
      <c r="B268" t="s">
        <v>386</v>
      </c>
      <c r="C268" s="266">
        <v>2.2278046688315668E-2</v>
      </c>
      <c r="D268" s="271">
        <v>1.2164575362962333</v>
      </c>
      <c r="E268" s="271">
        <v>1.5979648563660582</v>
      </c>
      <c r="F268" s="271">
        <v>1.9791863074855087E-2</v>
      </c>
      <c r="G268" s="271">
        <v>0.96425421656701804</v>
      </c>
      <c r="H268" s="271">
        <v>0.95428955483513866</v>
      </c>
      <c r="I268" s="271">
        <v>0.88103803916869161</v>
      </c>
      <c r="J268" s="271">
        <v>0.11896196083130843</v>
      </c>
      <c r="K268" s="271">
        <v>-2.6032321438346582E-3</v>
      </c>
      <c r="L268" s="271">
        <v>5.9523085438322257E-2</v>
      </c>
      <c r="M268" s="271">
        <v>0.54787086146956765</v>
      </c>
      <c r="N268" s="271">
        <v>-6.9604382210999524E-4</v>
      </c>
      <c r="O268" s="272">
        <v>1555.3131219980789</v>
      </c>
      <c r="P268" s="264">
        <v>0.34990655027595152</v>
      </c>
      <c r="S268" s="266"/>
    </row>
    <row r="269" spans="2:19" x14ac:dyDescent="0.2">
      <c r="B269" t="s">
        <v>499</v>
      </c>
      <c r="C269" s="266">
        <v>0.12343376181014558</v>
      </c>
      <c r="D269" s="266">
        <v>5.0374788425888613E-2</v>
      </c>
      <c r="E269" s="266">
        <v>2.0149915370355443E-8</v>
      </c>
      <c r="F269" s="266">
        <v>2.7242685580720561E-2</v>
      </c>
      <c r="G269" s="266">
        <v>-1.3480293382767792E-2</v>
      </c>
      <c r="H269" s="266">
        <v>1.2300938986056258E-2</v>
      </c>
      <c r="I269" s="266">
        <v>0.27502495623616557</v>
      </c>
      <c r="J269" s="266">
        <v>0.72497504376383448</v>
      </c>
      <c r="K269" s="266">
        <v>-4.4188764407189489E-2</v>
      </c>
      <c r="L269" s="266">
        <v>1.3757354719110181E-2</v>
      </c>
      <c r="M269" s="266">
        <v>0.63476550735509429</v>
      </c>
      <c r="N269" s="266">
        <v>2.2731201228664386E-2</v>
      </c>
      <c r="O269" s="163">
        <v>1510.5128204136865</v>
      </c>
      <c r="P269" s="264">
        <v>0.73786297640653353</v>
      </c>
      <c r="S269" s="266"/>
    </row>
    <row r="270" spans="2:19" x14ac:dyDescent="0.2">
      <c r="B270" t="s">
        <v>500</v>
      </c>
      <c r="C270" s="266">
        <v>4.3159454113596675E-3</v>
      </c>
      <c r="D270" s="266">
        <v>3.0964397157454138E-2</v>
      </c>
      <c r="E270" s="266">
        <v>0.39990501174037135</v>
      </c>
      <c r="F270" s="266">
        <v>2.1354603601564198E-2</v>
      </c>
      <c r="G270" s="266">
        <v>2.9437483077442064E-2</v>
      </c>
      <c r="H270" s="266">
        <v>0.38274445051067291</v>
      </c>
      <c r="I270" s="266">
        <v>0.58299583526587839</v>
      </c>
      <c r="J270" s="266">
        <v>0.41700416473412166</v>
      </c>
      <c r="K270" s="266">
        <v>2.032926304202121E-2</v>
      </c>
      <c r="L270" s="266">
        <v>4.3976457115464003E-3</v>
      </c>
      <c r="M270" s="266">
        <v>0.57324381693585169</v>
      </c>
      <c r="N270" s="266">
        <v>-3.1305619227248501E-3</v>
      </c>
      <c r="O270" s="163">
        <v>1837.123342447622</v>
      </c>
      <c r="P270" s="264">
        <v>0.68944923689449233</v>
      </c>
      <c r="S270" s="266"/>
    </row>
    <row r="271" spans="2:19" x14ac:dyDescent="0.2">
      <c r="B271" t="s">
        <v>459</v>
      </c>
      <c r="C271" s="266">
        <v>2.5869079081114049E-2</v>
      </c>
      <c r="D271" s="266">
        <v>6.7482923285462418E-2</v>
      </c>
      <c r="E271" s="266">
        <v>4.4297573378930307E-9</v>
      </c>
      <c r="F271" s="266">
        <v>7.5651395816537167E-2</v>
      </c>
      <c r="G271" s="266">
        <v>0.1923799314273564</v>
      </c>
      <c r="H271" s="266">
        <v>-0.119816382128587</v>
      </c>
      <c r="I271" s="266">
        <v>0.592137366843146</v>
      </c>
      <c r="J271" s="266">
        <v>0.407862633156854</v>
      </c>
      <c r="K271" s="266">
        <v>9.2892011375616847E-3</v>
      </c>
      <c r="L271" s="266">
        <v>3.0321688977877792E-2</v>
      </c>
      <c r="M271" s="266">
        <v>0.65905684283810662</v>
      </c>
      <c r="N271" s="266">
        <v>1.7803056488255253E-2</v>
      </c>
      <c r="O271" s="163">
        <v>1836.8943839148064</v>
      </c>
      <c r="P271" s="264">
        <v>0.89728110389905136</v>
      </c>
      <c r="S271" s="266"/>
    </row>
    <row r="272" spans="2:19" x14ac:dyDescent="0.2">
      <c r="B272" t="s">
        <v>387</v>
      </c>
      <c r="C272" s="266">
        <v>1.5551862971883502E-2</v>
      </c>
      <c r="D272" s="266">
        <v>0.11310608941601502</v>
      </c>
      <c r="E272" s="266">
        <v>0.43648925676799849</v>
      </c>
      <c r="F272" s="266">
        <v>0.27883589237753431</v>
      </c>
      <c r="G272" s="266">
        <v>-4.0935397998716518E-2</v>
      </c>
      <c r="H272" s="266">
        <v>0.4973762805124427</v>
      </c>
      <c r="I272" s="266">
        <v>0.69127376763006487</v>
      </c>
      <c r="J272" s="266">
        <v>0.30872623236993513</v>
      </c>
      <c r="K272" s="266">
        <v>-9.8043876120077009E-5</v>
      </c>
      <c r="L272" s="266">
        <v>9.8296413376749939E-3</v>
      </c>
      <c r="M272" s="266">
        <v>0.63247640679034467</v>
      </c>
      <c r="N272" s="266">
        <v>-2.6274501703585217E-2</v>
      </c>
      <c r="O272" s="163">
        <v>3186.1484390516766</v>
      </c>
      <c r="P272" s="264">
        <v>0.60794617080453139</v>
      </c>
      <c r="S272" s="266"/>
    </row>
    <row r="273" spans="2:19" x14ac:dyDescent="0.2">
      <c r="B273" t="s">
        <v>264</v>
      </c>
      <c r="C273" s="266">
        <v>-1.508894935645631E-2</v>
      </c>
      <c r="D273" s="266">
        <v>0</v>
      </c>
      <c r="E273" s="266">
        <v>-1.0689716628052042</v>
      </c>
      <c r="F273" s="266">
        <v>0.25360898235608625</v>
      </c>
      <c r="G273" s="266">
        <v>0.37408661557654604</v>
      </c>
      <c r="H273" s="266">
        <v>-1.2891766173587595</v>
      </c>
      <c r="I273" s="266">
        <v>7.9605192575903871E-2</v>
      </c>
      <c r="J273" s="266">
        <v>0.92039480742409607</v>
      </c>
      <c r="K273" s="266">
        <v>-1.4257708073427196E-3</v>
      </c>
      <c r="L273" s="266">
        <v>-5.0793085011584388E-2</v>
      </c>
      <c r="M273" s="266">
        <v>0.45608724695284203</v>
      </c>
      <c r="N273" s="266">
        <v>3.6897668515217544E-2</v>
      </c>
      <c r="O273" s="163">
        <v>1896.3464214046826</v>
      </c>
      <c r="P273" s="264">
        <v>7.1657681940700808</v>
      </c>
      <c r="S273" s="266"/>
    </row>
    <row r="274" spans="2:19" x14ac:dyDescent="0.2">
      <c r="B274" t="s">
        <v>460</v>
      </c>
      <c r="C274" s="266">
        <v>8.3306102003894947E-2</v>
      </c>
      <c r="D274" s="266">
        <v>0</v>
      </c>
      <c r="E274" s="266">
        <v>0.31340194957250994</v>
      </c>
      <c r="F274" s="266">
        <v>7.9326181270308049E-3</v>
      </c>
      <c r="G274" s="266">
        <v>0.12743015847083811</v>
      </c>
      <c r="H274" s="266">
        <v>0.2289756575722921</v>
      </c>
      <c r="I274" s="266">
        <v>0.33381422574351088</v>
      </c>
      <c r="J274" s="266">
        <v>0.66618577425648906</v>
      </c>
      <c r="K274" s="266">
        <v>-4.1206048394416307E-3</v>
      </c>
      <c r="L274" s="266">
        <v>4.8802846303254731E-2</v>
      </c>
      <c r="M274" s="266">
        <v>0.68974380900900101</v>
      </c>
      <c r="N274" s="266">
        <v>2.8625279427935565E-2</v>
      </c>
      <c r="O274" s="163">
        <v>1269.9212036000538</v>
      </c>
      <c r="P274" s="264">
        <v>0.96101880591564726</v>
      </c>
      <c r="S274" s="266"/>
    </row>
    <row r="275" spans="2:19" x14ac:dyDescent="0.2">
      <c r="B275" t="s">
        <v>334</v>
      </c>
      <c r="C275" s="266">
        <v>5.7687961929068964E-2</v>
      </c>
      <c r="D275" s="266">
        <v>4.7193853472523736E-2</v>
      </c>
      <c r="E275" s="266">
        <v>0.36821588356332469</v>
      </c>
      <c r="F275" s="266">
        <v>3.8840541407887036E-2</v>
      </c>
      <c r="G275" s="266">
        <v>7.031884167406037E-2</v>
      </c>
      <c r="H275" s="266">
        <v>0.32576312461065071</v>
      </c>
      <c r="I275" s="266">
        <v>0.56409213107607348</v>
      </c>
      <c r="J275" s="266">
        <v>0.43590786892392647</v>
      </c>
      <c r="K275" s="266">
        <v>1.7357899307194231E-2</v>
      </c>
      <c r="L275" s="266">
        <v>-2.3884809242444262E-2</v>
      </c>
      <c r="M275" s="266">
        <v>0.63381105129706494</v>
      </c>
      <c r="N275" s="266">
        <v>5.800649617592234E-3</v>
      </c>
      <c r="O275" s="163">
        <v>2014.3561066735936</v>
      </c>
      <c r="P275" s="264">
        <v>0.91033043478260867</v>
      </c>
      <c r="S275" s="266"/>
    </row>
    <row r="276" spans="2:19" x14ac:dyDescent="0.2">
      <c r="B276" t="s">
        <v>265</v>
      </c>
      <c r="C276" s="266">
        <v>4.4029660044514252E-2</v>
      </c>
      <c r="D276" s="266">
        <v>3.9415919068524527E-2</v>
      </c>
      <c r="E276" s="266">
        <v>-0.26374308074059938</v>
      </c>
      <c r="F276" s="266">
        <v>0.23463447222752434</v>
      </c>
      <c r="G276" s="266">
        <v>7.1196793281160534E-2</v>
      </c>
      <c r="H276" s="266">
        <v>-0.28328879557167402</v>
      </c>
      <c r="I276" s="266">
        <v>0.1125609130546294</v>
      </c>
      <c r="J276" s="266">
        <v>0.88743908694537066</v>
      </c>
      <c r="K276" s="266">
        <v>2.5481962206527962E-2</v>
      </c>
      <c r="L276" s="266">
        <v>9.0224756632945213E-2</v>
      </c>
      <c r="M276" s="266">
        <v>0.50669738147200283</v>
      </c>
      <c r="N276" s="266">
        <v>2.6306616344593435E-2</v>
      </c>
      <c r="O276" s="163">
        <v>1215.4935181940004</v>
      </c>
      <c r="P276" s="264">
        <v>1.2345864661654136</v>
      </c>
      <c r="S276" s="266"/>
    </row>
    <row r="277" spans="2:19" ht="15" x14ac:dyDescent="0.25">
      <c r="B277" t="s">
        <v>388</v>
      </c>
      <c r="C277" s="266">
        <v>2.7913587265491757E-2</v>
      </c>
      <c r="D277" s="271">
        <v>9.6637923990009339E-2</v>
      </c>
      <c r="E277" s="271">
        <v>1.5301833633550412</v>
      </c>
      <c r="F277" s="271">
        <v>9.1958800979169558E-2</v>
      </c>
      <c r="G277" s="271">
        <v>3.2508713401050936E-3</v>
      </c>
      <c r="H277" s="271">
        <v>1.5390403356746711</v>
      </c>
      <c r="I277" s="271">
        <v>0.79078093042631226</v>
      </c>
      <c r="J277" s="271">
        <v>0.20921906957368772</v>
      </c>
      <c r="K277" s="271">
        <v>-4.0872157264009834E-2</v>
      </c>
      <c r="L277" s="271">
        <v>7.6004661358686582E-2</v>
      </c>
      <c r="M277" s="271">
        <v>0.6456352707970433</v>
      </c>
      <c r="N277" s="271">
        <v>-5.5453990299736281E-3</v>
      </c>
      <c r="O277" s="272">
        <v>2152.2957333127833</v>
      </c>
      <c r="P277" s="264">
        <v>0.64885519659249924</v>
      </c>
      <c r="S277" s="266"/>
    </row>
    <row r="278" spans="2:19" x14ac:dyDescent="0.2">
      <c r="B278" t="s">
        <v>193</v>
      </c>
      <c r="C278" s="266">
        <v>1.6122450657642822E-2</v>
      </c>
      <c r="D278" s="266">
        <v>0.10242951409718057</v>
      </c>
      <c r="E278" s="266">
        <v>0.79424115176964605</v>
      </c>
      <c r="F278" s="266">
        <v>4.3341331733653267E-2</v>
      </c>
      <c r="G278" s="266">
        <v>0</v>
      </c>
      <c r="H278" s="266">
        <v>0.79944211157768441</v>
      </c>
      <c r="I278" s="266">
        <v>0.66954753431621761</v>
      </c>
      <c r="J278" s="266">
        <v>0.33045246568378239</v>
      </c>
      <c r="K278" s="266">
        <v>3.1043791241751651E-2</v>
      </c>
      <c r="L278" s="266">
        <v>4.1316736652669467E-2</v>
      </c>
      <c r="M278" s="266">
        <v>0.40638906272419167</v>
      </c>
      <c r="N278" s="266">
        <v>2.9117894755845239E-2</v>
      </c>
      <c r="O278" s="163">
        <v>4863.615494155154</v>
      </c>
      <c r="P278" s="264">
        <v>0.72833211944646759</v>
      </c>
      <c r="S278" s="266"/>
    </row>
    <row r="279" spans="2:19" x14ac:dyDescent="0.2">
      <c r="B279" t="s">
        <v>501</v>
      </c>
      <c r="C279" s="266">
        <v>-2.8180105868216801E-2</v>
      </c>
      <c r="D279" s="266">
        <v>0</v>
      </c>
      <c r="E279" s="266">
        <v>-0.11104970026784576</v>
      </c>
      <c r="F279" s="266">
        <v>5.9648824454742573E-2</v>
      </c>
      <c r="G279" s="266">
        <v>0</v>
      </c>
      <c r="H279" s="266">
        <v>-0.10389184133327665</v>
      </c>
      <c r="I279" s="266">
        <v>0.34651465146514654</v>
      </c>
      <c r="J279" s="266">
        <v>0.65348534853485352</v>
      </c>
      <c r="K279" s="266">
        <v>1.8472854045321202E-2</v>
      </c>
      <c r="L279" s="266">
        <v>-2.8118489860124996E-2</v>
      </c>
      <c r="M279" s="266">
        <v>0.44013602560963633</v>
      </c>
      <c r="N279" s="266">
        <v>-2.8584750573593088E-3</v>
      </c>
      <c r="O279" s="163">
        <v>1406.2178393822394</v>
      </c>
      <c r="P279" s="264">
        <v>1.3644067796610169</v>
      </c>
      <c r="S279" s="266"/>
    </row>
    <row r="280" spans="2:19" x14ac:dyDescent="0.2">
      <c r="B280" t="s">
        <v>410</v>
      </c>
      <c r="C280" s="266">
        <v>3.076516044008706E-2</v>
      </c>
      <c r="D280" s="266">
        <v>9.0754576017930522E-2</v>
      </c>
      <c r="E280" s="266">
        <v>0.40875980575270826</v>
      </c>
      <c r="F280" s="266">
        <v>2.7941725812476653E-2</v>
      </c>
      <c r="G280" s="266">
        <v>7.3020171834142694E-2</v>
      </c>
      <c r="H280" s="266">
        <v>0.36318929772132985</v>
      </c>
      <c r="I280" s="266">
        <v>0.53664770710234222</v>
      </c>
      <c r="J280" s="266">
        <v>0.46335229289765778</v>
      </c>
      <c r="K280" s="266">
        <v>9.8804632050803146E-3</v>
      </c>
      <c r="L280" s="266">
        <v>2.8714512514008219E-2</v>
      </c>
      <c r="M280" s="266">
        <v>0.51571737720403454</v>
      </c>
      <c r="N280" s="266">
        <v>2.2190841429030682E-2</v>
      </c>
      <c r="O280" s="163">
        <v>1880.5426855060873</v>
      </c>
      <c r="P280" s="264">
        <v>1.0025523467410313</v>
      </c>
      <c r="S280" s="266"/>
    </row>
    <row r="281" spans="2:19" x14ac:dyDescent="0.2">
      <c r="B281" t="s">
        <v>528</v>
      </c>
      <c r="C281" s="266">
        <v>8.4336660095065599E-3</v>
      </c>
      <c r="D281" s="266">
        <v>0.26706969221185617</v>
      </c>
      <c r="E281" s="266">
        <v>0.29162735376511345</v>
      </c>
      <c r="F281" s="266">
        <v>9.5612315897226671E-2</v>
      </c>
      <c r="G281" s="266">
        <v>2.9810259847654157E-2</v>
      </c>
      <c r="H281" s="266">
        <v>0.28312795757485232</v>
      </c>
      <c r="I281" s="266">
        <v>0.66195983836175143</v>
      </c>
      <c r="J281" s="266">
        <v>0.33804016163824857</v>
      </c>
      <c r="K281" s="266">
        <v>-5.6724874046927762E-2</v>
      </c>
      <c r="L281" s="266">
        <v>1.5212157613467052E-2</v>
      </c>
      <c r="M281" s="266">
        <v>0.70166678115269376</v>
      </c>
      <c r="N281" s="266">
        <v>1.4511977776041832E-2</v>
      </c>
      <c r="O281" s="163">
        <v>2860.2509501149143</v>
      </c>
      <c r="P281" s="264">
        <v>1.0630041841746007</v>
      </c>
      <c r="S281" s="266"/>
    </row>
    <row r="282" spans="2:19" x14ac:dyDescent="0.2">
      <c r="B282" t="s">
        <v>569</v>
      </c>
      <c r="C282" s="266">
        <v>5.4726920622026214E-2</v>
      </c>
      <c r="D282" s="266">
        <v>6.0286052556373586E-2</v>
      </c>
      <c r="E282" s="266">
        <v>0.27788740252847599</v>
      </c>
      <c r="F282" s="266">
        <v>0.22522216022753563</v>
      </c>
      <c r="G282" s="266">
        <v>8.7094974347808343E-2</v>
      </c>
      <c r="H282" s="266">
        <v>0.24656042894274868</v>
      </c>
      <c r="I282" s="266">
        <v>0.41374399145451307</v>
      </c>
      <c r="J282" s="266">
        <v>0.58625600854548687</v>
      </c>
      <c r="K282" s="266">
        <v>-6.0340486915340967E-3</v>
      </c>
      <c r="L282" s="266">
        <v>5.9931699544548328E-2</v>
      </c>
      <c r="M282" s="266">
        <v>0.4298664104217218</v>
      </c>
      <c r="N282" s="266">
        <v>3.7304127794532242E-4</v>
      </c>
      <c r="O282" s="163">
        <v>2441.2825045910072</v>
      </c>
      <c r="P282" s="264">
        <v>0.71773584905660381</v>
      </c>
      <c r="S282" s="266"/>
    </row>
    <row r="283" spans="2:19" ht="15" x14ac:dyDescent="0.25">
      <c r="B283" t="s">
        <v>502</v>
      </c>
      <c r="C283" s="266">
        <v>-2.262300759115398E-2</v>
      </c>
      <c r="D283" s="271">
        <v>0</v>
      </c>
      <c r="E283" s="271">
        <v>0.10400348128807659</v>
      </c>
      <c r="F283" s="271">
        <v>2.729646332779492E-2</v>
      </c>
      <c r="G283" s="271">
        <v>0</v>
      </c>
      <c r="H283" s="271">
        <v>0.10727905688741197</v>
      </c>
      <c r="I283" s="271">
        <v>0.39798088935408715</v>
      </c>
      <c r="J283" s="271">
        <v>0.60201911064591285</v>
      </c>
      <c r="K283" s="271">
        <v>6.5274151436031328E-3</v>
      </c>
      <c r="L283" s="271">
        <v>-3.1143682253342828E-2</v>
      </c>
      <c r="M283" s="271">
        <v>0.74441705522108381</v>
      </c>
      <c r="N283" s="271">
        <v>-1.4069599806257528E-2</v>
      </c>
      <c r="O283" s="272">
        <v>1356.676086668559</v>
      </c>
      <c r="P283" s="264">
        <v>3.0416666666666665</v>
      </c>
      <c r="S283" s="266"/>
    </row>
    <row r="284" spans="2:19" x14ac:dyDescent="0.2">
      <c r="B284" t="s">
        <v>524</v>
      </c>
      <c r="C284" s="266">
        <v>-1.630719296408753E-2</v>
      </c>
      <c r="D284" s="266">
        <v>0</v>
      </c>
      <c r="E284" s="266">
        <v>-0.14783914566994827</v>
      </c>
      <c r="F284" s="266">
        <v>1.0378775237777407E-2</v>
      </c>
      <c r="G284" s="266">
        <v>2.3327215084264975E-2</v>
      </c>
      <c r="H284" s="266">
        <v>-0.1622229267478725</v>
      </c>
      <c r="I284" s="266">
        <v>0.20167024037918971</v>
      </c>
      <c r="J284" s="266">
        <v>0.79832975962081032</v>
      </c>
      <c r="K284" s="266">
        <v>7.6923076923076927E-2</v>
      </c>
      <c r="L284" s="266">
        <v>-3.5966961455030873E-2</v>
      </c>
      <c r="M284" s="266">
        <v>0.53189840521137477</v>
      </c>
      <c r="N284" s="266">
        <v>-2.1062621205339825E-2</v>
      </c>
      <c r="O284" s="163">
        <v>1475.158162772653</v>
      </c>
      <c r="P284" s="264">
        <v>3.3174078780177889</v>
      </c>
      <c r="S284" s="266"/>
    </row>
    <row r="285" spans="2:19" x14ac:dyDescent="0.2">
      <c r="B285" t="s">
        <v>462</v>
      </c>
      <c r="C285" s="266">
        <v>-3.1858136672274395E-3</v>
      </c>
      <c r="D285" s="266">
        <v>0</v>
      </c>
      <c r="E285" s="266">
        <v>4.6330756751598437E-2</v>
      </c>
      <c r="F285" s="266">
        <v>3.0235073321245667E-2</v>
      </c>
      <c r="G285" s="266">
        <v>9.1595890193084575E-2</v>
      </c>
      <c r="H285" s="266">
        <v>-1.1410280879218755E-2</v>
      </c>
      <c r="I285" s="266">
        <v>0.34650225001461049</v>
      </c>
      <c r="J285" s="266">
        <v>0.65349774998538956</v>
      </c>
      <c r="K285" s="266">
        <v>1.7161306740465058E-2</v>
      </c>
      <c r="L285" s="266">
        <v>-4.2664694468301685E-3</v>
      </c>
      <c r="M285" s="266">
        <v>0.60063003604489773</v>
      </c>
      <c r="N285" s="266">
        <v>1.7045229880792448E-2</v>
      </c>
      <c r="O285" s="163">
        <v>1296.3346265523876</v>
      </c>
      <c r="P285" s="264">
        <v>1.2565951981029542</v>
      </c>
      <c r="S285" s="266"/>
    </row>
    <row r="286" spans="2:19" x14ac:dyDescent="0.2">
      <c r="B286" t="s">
        <v>503</v>
      </c>
      <c r="C286" s="266">
        <v>2.2646245071520972E-2</v>
      </c>
      <c r="D286" s="266">
        <v>1.5732464387831328E-2</v>
      </c>
      <c r="E286" s="266">
        <v>1.0027755596197934</v>
      </c>
      <c r="F286" s="266">
        <v>4.9448107982792817E-2</v>
      </c>
      <c r="G286" s="266">
        <v>4.559709950799825E-2</v>
      </c>
      <c r="H286" s="266">
        <v>0.97815927590736973</v>
      </c>
      <c r="I286" s="266">
        <v>0.82875806930529738</v>
      </c>
      <c r="J286" s="266">
        <v>0.17124193069470259</v>
      </c>
      <c r="K286" s="266">
        <v>-1.7149223358491537E-2</v>
      </c>
      <c r="L286" s="266">
        <v>2.0217794492671491E-2</v>
      </c>
      <c r="M286" s="266">
        <v>0.64829506358190769</v>
      </c>
      <c r="N286" s="266">
        <v>-7.3924995091213599E-2</v>
      </c>
      <c r="O286" s="163">
        <v>2075.7505931522264</v>
      </c>
      <c r="P286" s="264">
        <v>0.79874786386213725</v>
      </c>
      <c r="S286" s="266"/>
    </row>
    <row r="287" spans="2:19" x14ac:dyDescent="0.2">
      <c r="B287" t="s">
        <v>389</v>
      </c>
      <c r="C287" s="266">
        <v>8.7961380028981264E-3</v>
      </c>
      <c r="D287" s="266">
        <v>4.4859492268564026E-2</v>
      </c>
      <c r="E287" s="266">
        <v>0.37680413175427918</v>
      </c>
      <c r="F287" s="266">
        <v>3.265771037151461E-2</v>
      </c>
      <c r="G287" s="266">
        <v>1.2701087550125606E-2</v>
      </c>
      <c r="H287" s="266">
        <v>0.37221332834027676</v>
      </c>
      <c r="I287" s="266">
        <v>0.48987960457281715</v>
      </c>
      <c r="J287" s="266">
        <v>0.5101203954271829</v>
      </c>
      <c r="K287" s="266">
        <v>6.0384777418901843E-3</v>
      </c>
      <c r="L287" s="266">
        <v>2.6486604565526064E-2</v>
      </c>
      <c r="M287" s="266">
        <v>0.63292802239355772</v>
      </c>
      <c r="N287" s="266">
        <v>2.0403811009901941E-2</v>
      </c>
      <c r="O287" s="163">
        <v>1515.3447841913676</v>
      </c>
      <c r="P287" s="264">
        <v>0.82779320849386251</v>
      </c>
      <c r="S287" s="266"/>
    </row>
    <row r="288" spans="2:19" x14ac:dyDescent="0.2">
      <c r="B288" t="s">
        <v>411</v>
      </c>
      <c r="C288" s="266">
        <v>8.6554154302670619E-2</v>
      </c>
      <c r="D288" s="266">
        <v>8.0743426751031314E-2</v>
      </c>
      <c r="E288" s="266">
        <v>0.8747596047976276</v>
      </c>
      <c r="F288" s="266">
        <v>0</v>
      </c>
      <c r="G288" s="266">
        <v>4.8548820411938282E-2</v>
      </c>
      <c r="H288" s="266">
        <v>0.84223189512162899</v>
      </c>
      <c r="I288" s="266">
        <v>0.64416614702418074</v>
      </c>
      <c r="J288" s="266">
        <v>0.35583385297581932</v>
      </c>
      <c r="K288" s="266">
        <v>-1.6383575318936534E-2</v>
      </c>
      <c r="L288" s="266">
        <v>7.0588105759208417E-2</v>
      </c>
      <c r="M288" s="266">
        <v>0.56199960498938062</v>
      </c>
      <c r="N288" s="266">
        <v>2.1820921789574364E-2</v>
      </c>
      <c r="O288" s="163">
        <v>1864.0420030438827</v>
      </c>
      <c r="P288" s="264">
        <v>0.79575424280054408</v>
      </c>
      <c r="S288" s="266"/>
    </row>
    <row r="289" spans="2:19" ht="15" x14ac:dyDescent="0.25">
      <c r="B289" t="s">
        <v>194</v>
      </c>
      <c r="C289" s="266">
        <v>7.3467883386069494E-2</v>
      </c>
      <c r="D289" s="271">
        <v>5.2590612203458661E-2</v>
      </c>
      <c r="E289" s="271">
        <v>0.49638453641973218</v>
      </c>
      <c r="F289" s="271">
        <v>0.16003925682764222</v>
      </c>
      <c r="G289" s="271">
        <v>2.4772411925953502E-2</v>
      </c>
      <c r="H289" s="271">
        <v>0.49899173124866036</v>
      </c>
      <c r="I289" s="271">
        <v>0.58472030321084056</v>
      </c>
      <c r="J289" s="271">
        <v>0.41527969678915944</v>
      </c>
      <c r="K289" s="271">
        <v>6.4694800726476922E-3</v>
      </c>
      <c r="L289" s="271">
        <v>7.613483817839295E-2</v>
      </c>
      <c r="M289" s="271">
        <v>0.71139247846363118</v>
      </c>
      <c r="N289" s="271">
        <v>-2.0663675263206709E-2</v>
      </c>
      <c r="O289" s="272">
        <v>2043.0473364813186</v>
      </c>
      <c r="P289" s="264">
        <v>0.53976352843055486</v>
      </c>
      <c r="S289" s="266"/>
    </row>
    <row r="290" spans="2:19" x14ac:dyDescent="0.2">
      <c r="B290" t="s">
        <v>291</v>
      </c>
      <c r="C290" s="266">
        <v>-8.8466913527353586E-3</v>
      </c>
      <c r="D290" s="266">
        <v>8.611607347350099E-2</v>
      </c>
      <c r="E290" s="266">
        <v>0.2082176721176309</v>
      </c>
      <c r="F290" s="266">
        <v>2.1547340937199396E-2</v>
      </c>
      <c r="G290" s="266">
        <v>5.7276350144290229E-2</v>
      </c>
      <c r="H290" s="266">
        <v>0.17242819843342036</v>
      </c>
      <c r="I290" s="266">
        <v>0.44480400482724713</v>
      </c>
      <c r="J290" s="266">
        <v>0.55519599517275287</v>
      </c>
      <c r="K290" s="266">
        <v>3.4675461499702256E-2</v>
      </c>
      <c r="L290" s="266">
        <v>-1.3352572030598689E-3</v>
      </c>
      <c r="M290" s="266">
        <v>0.5938384564517184</v>
      </c>
      <c r="N290" s="266">
        <v>3.8534939296076383E-2</v>
      </c>
      <c r="O290" s="163">
        <v>1373.0033457638208</v>
      </c>
      <c r="P290" s="264">
        <v>1.0728309607766313</v>
      </c>
      <c r="S290" s="266"/>
    </row>
    <row r="291" spans="2:19" x14ac:dyDescent="0.2">
      <c r="B291" t="s">
        <v>464</v>
      </c>
      <c r="C291" s="266">
        <v>1.8633201602457503E-2</v>
      </c>
      <c r="D291" s="266">
        <v>0</v>
      </c>
      <c r="E291" s="266">
        <v>-0.47338227536486727</v>
      </c>
      <c r="F291" s="266">
        <v>2.6266045366625638E-2</v>
      </c>
      <c r="G291" s="266">
        <v>0.25347283277650784</v>
      </c>
      <c r="H291" s="266">
        <v>-0.64005714788113244</v>
      </c>
      <c r="I291" s="266">
        <v>0.23015575899896765</v>
      </c>
      <c r="J291" s="266">
        <v>0.76984424100103233</v>
      </c>
      <c r="K291" s="266">
        <v>1.4704589414454019E-2</v>
      </c>
      <c r="L291" s="266">
        <v>4.2036662563741866E-3</v>
      </c>
      <c r="M291" s="266">
        <v>0.56179832335780844</v>
      </c>
      <c r="N291" s="266">
        <v>1.2560718822816706E-2</v>
      </c>
      <c r="O291" s="163">
        <v>1715.7307517730496</v>
      </c>
      <c r="P291" s="264">
        <v>5.568856088560886</v>
      </c>
      <c r="S291" s="266"/>
    </row>
    <row r="292" spans="2:19" x14ac:dyDescent="0.2">
      <c r="B292" t="s">
        <v>465</v>
      </c>
      <c r="C292" s="266">
        <v>4.5299133656622893E-2</v>
      </c>
      <c r="D292" s="266">
        <v>0</v>
      </c>
      <c r="E292" s="266">
        <v>0.14021266045947881</v>
      </c>
      <c r="F292" s="266">
        <v>3.1568508622114487E-2</v>
      </c>
      <c r="G292" s="266">
        <v>0.45041595504379922</v>
      </c>
      <c r="H292" s="266">
        <v>-0.15777780838521294</v>
      </c>
      <c r="I292" s="266">
        <v>0.23098805921469859</v>
      </c>
      <c r="J292" s="266">
        <v>0.76901194078530144</v>
      </c>
      <c r="K292" s="266">
        <v>1.504049363671423E-2</v>
      </c>
      <c r="L292" s="266">
        <v>3.0445980937689382E-2</v>
      </c>
      <c r="M292" s="266">
        <v>0.53428347594684855</v>
      </c>
      <c r="N292" s="266">
        <v>4.5114503204127611E-2</v>
      </c>
      <c r="O292" s="163">
        <v>1363.5189030550878</v>
      </c>
      <c r="P292" s="264">
        <v>0.93522906793048977</v>
      </c>
      <c r="S292" s="266"/>
    </row>
    <row r="293" spans="2:19" x14ac:dyDescent="0.2">
      <c r="B293" t="s">
        <v>173</v>
      </c>
      <c r="C293" s="266">
        <v>1.5174019418586149E-2</v>
      </c>
      <c r="D293" s="266">
        <v>8.8117372339956826E-2</v>
      </c>
      <c r="E293" s="266">
        <v>0.20033484601489185</v>
      </c>
      <c r="F293" s="266">
        <v>3.207472353174428E-2</v>
      </c>
      <c r="G293" s="266">
        <v>2.0443230382869982E-2</v>
      </c>
      <c r="H293" s="266">
        <v>0.19048684848217826</v>
      </c>
      <c r="I293" s="266">
        <v>0.41246223290014927</v>
      </c>
      <c r="J293" s="266">
        <v>0.58753776709985073</v>
      </c>
      <c r="K293" s="266">
        <v>-2.414416002114817E-3</v>
      </c>
      <c r="L293" s="266">
        <v>1.8857117680750761E-2</v>
      </c>
      <c r="M293" s="266">
        <v>0.76673617622786894</v>
      </c>
      <c r="N293" s="266">
        <v>-1.8012651254400915E-2</v>
      </c>
      <c r="O293" s="163">
        <v>1770.7245803751357</v>
      </c>
      <c r="P293" s="264">
        <v>0.81806407046023655</v>
      </c>
      <c r="S293" s="266"/>
    </row>
    <row r="294" spans="2:19" x14ac:dyDescent="0.2">
      <c r="B294" t="s">
        <v>216</v>
      </c>
      <c r="C294" s="266">
        <v>-3.8366336633663366E-3</v>
      </c>
      <c r="D294" s="266">
        <v>0</v>
      </c>
      <c r="E294" s="266">
        <v>-0.59930037440900763</v>
      </c>
      <c r="F294" s="266">
        <v>6.9552622229509989E-2</v>
      </c>
      <c r="G294" s="266">
        <v>9.2755049055778749E-2</v>
      </c>
      <c r="H294" s="266">
        <v>-0.65309994260883819</v>
      </c>
      <c r="I294" s="266">
        <v>8.3975591406837746E-2</v>
      </c>
      <c r="J294" s="266">
        <v>0.91602440859316225</v>
      </c>
      <c r="K294" s="266">
        <v>5.8101719001940368E-2</v>
      </c>
      <c r="L294" s="266">
        <v>2.9064524063294253E-2</v>
      </c>
      <c r="M294" s="266">
        <v>0.55465694777420693</v>
      </c>
      <c r="N294" s="266">
        <v>2.2157291562963359E-2</v>
      </c>
      <c r="O294" s="163">
        <v>1169.9140661315444</v>
      </c>
      <c r="P294" s="264">
        <v>5.9708463062553072</v>
      </c>
      <c r="S294" s="266"/>
    </row>
    <row r="295" spans="2:19" x14ac:dyDescent="0.2">
      <c r="B295" t="s">
        <v>335</v>
      </c>
      <c r="C295" s="266">
        <v>-2.515531899433222E-2</v>
      </c>
      <c r="D295" s="266">
        <v>6.6992500210668243E-2</v>
      </c>
      <c r="E295" s="266">
        <v>0.25344231903598213</v>
      </c>
      <c r="F295" s="266">
        <v>0.56949523889778375</v>
      </c>
      <c r="G295" s="266">
        <v>7.3278840482008931E-2</v>
      </c>
      <c r="H295" s="266">
        <v>0.27268492458077015</v>
      </c>
      <c r="I295" s="266">
        <v>0.6913196475817085</v>
      </c>
      <c r="J295" s="266">
        <v>0.3086803524182915</v>
      </c>
      <c r="K295" s="266">
        <v>6.5559956181006157E-2</v>
      </c>
      <c r="L295" s="266">
        <v>-1.474677677593326E-3</v>
      </c>
      <c r="M295" s="266">
        <v>0.54137689002503875</v>
      </c>
      <c r="N295" s="266">
        <v>2.0563333552639444E-2</v>
      </c>
      <c r="O295" s="163">
        <v>1368.5234018466106</v>
      </c>
      <c r="P295" s="264">
        <v>2.1299312087603539</v>
      </c>
      <c r="S295" s="266"/>
    </row>
    <row r="296" spans="2:19" x14ac:dyDescent="0.2">
      <c r="B296" t="s">
        <v>466</v>
      </c>
      <c r="C296" s="266">
        <v>1.4875474402619191E-2</v>
      </c>
      <c r="D296" s="266">
        <v>0</v>
      </c>
      <c r="E296" s="266">
        <v>-0.28999241148272226</v>
      </c>
      <c r="F296" s="266">
        <v>3.1094412260082548E-2</v>
      </c>
      <c r="G296" s="266">
        <v>9.6115049325362301E-2</v>
      </c>
      <c r="H296" s="266">
        <v>-0.35065816505950509</v>
      </c>
      <c r="I296" s="266">
        <v>0.14709116979661158</v>
      </c>
      <c r="J296" s="266">
        <v>0.85290883020338837</v>
      </c>
      <c r="K296" s="266">
        <v>-7.7606470599122693E-2</v>
      </c>
      <c r="L296" s="266">
        <v>1.7541505487793593E-2</v>
      </c>
      <c r="M296" s="266">
        <v>0.66271041488645199</v>
      </c>
      <c r="N296" s="266">
        <v>1.4653739604422143E-2</v>
      </c>
      <c r="O296" s="163">
        <v>1414.9729656668476</v>
      </c>
      <c r="P296" s="264">
        <v>2.3422684346084135</v>
      </c>
      <c r="S296" s="266"/>
    </row>
    <row r="297" spans="2:19" x14ac:dyDescent="0.2">
      <c r="B297" t="s">
        <v>217</v>
      </c>
      <c r="C297" s="266">
        <v>2.2925548713090164E-2</v>
      </c>
      <c r="D297" s="266">
        <v>2.5861517805766895E-2</v>
      </c>
      <c r="E297" s="266">
        <v>0.4128892014577073</v>
      </c>
      <c r="F297" s="266">
        <v>0.13116169042900069</v>
      </c>
      <c r="G297" s="266">
        <v>0.16576625535451697</v>
      </c>
      <c r="H297" s="266">
        <v>0.31756521322166098</v>
      </c>
      <c r="I297" s="266">
        <v>0.56993409352442725</v>
      </c>
      <c r="J297" s="266">
        <v>0.43006590647557275</v>
      </c>
      <c r="K297" s="266">
        <v>-1.5823796432453168E-2</v>
      </c>
      <c r="L297" s="266">
        <v>1.0269484048334505E-2</v>
      </c>
      <c r="M297" s="266">
        <v>0.6413092470212356</v>
      </c>
      <c r="N297" s="266">
        <v>1.4997146795326032E-2</v>
      </c>
      <c r="O297" s="163">
        <v>1526.0079933710813</v>
      </c>
      <c r="P297" s="264">
        <v>0.8962753727911712</v>
      </c>
      <c r="S297" s="266"/>
    </row>
    <row r="298" spans="2:19" x14ac:dyDescent="0.2">
      <c r="B298" t="s">
        <v>504</v>
      </c>
      <c r="C298" s="266">
        <v>3.0785341988296612E-2</v>
      </c>
      <c r="D298" s="266">
        <v>3.2142018503733619E-2</v>
      </c>
      <c r="E298" s="266">
        <v>0.33539660921429576</v>
      </c>
      <c r="F298" s="266">
        <v>6.7289719626168226E-2</v>
      </c>
      <c r="G298" s="266">
        <v>-1.3271967313201521E-2</v>
      </c>
      <c r="H298" s="266">
        <v>0.35236359366928099</v>
      </c>
      <c r="I298" s="266">
        <v>0.6015178225910478</v>
      </c>
      <c r="J298" s="266">
        <v>0.39848217740895214</v>
      </c>
      <c r="K298" s="266">
        <v>1.0651387780021603E-2</v>
      </c>
      <c r="L298" s="266">
        <v>4.0341896397877233E-2</v>
      </c>
      <c r="M298" s="266">
        <v>0.3745059765485616</v>
      </c>
      <c r="N298" s="266">
        <v>-1.3882037247864111E-2</v>
      </c>
      <c r="O298" s="163">
        <v>1401.7063730301218</v>
      </c>
      <c r="P298" s="264">
        <v>0.74806201550387597</v>
      </c>
      <c r="S298" s="266"/>
    </row>
    <row r="299" spans="2:19" x14ac:dyDescent="0.2">
      <c r="B299" t="s">
        <v>292</v>
      </c>
      <c r="C299" s="266">
        <v>1.5115078751296709E-2</v>
      </c>
      <c r="D299" s="266">
        <v>8.3666674846826508E-2</v>
      </c>
      <c r="E299" s="266">
        <v>0.60442383044164683</v>
      </c>
      <c r="F299" s="266">
        <v>4.4050160740140863E-2</v>
      </c>
      <c r="G299" s="266">
        <v>6.5441278722586235E-4</v>
      </c>
      <c r="H299" s="266">
        <v>0.60927139316302237</v>
      </c>
      <c r="I299" s="266">
        <v>0.60376507523707434</v>
      </c>
      <c r="J299" s="266">
        <v>0.3962349247629256</v>
      </c>
      <c r="K299" s="266">
        <v>1.7096534066275655E-2</v>
      </c>
      <c r="L299" s="266">
        <v>1.4967647467831521E-2</v>
      </c>
      <c r="M299" s="266">
        <v>0.67117676695771511</v>
      </c>
      <c r="N299" s="266">
        <v>2.1426395615124022E-2</v>
      </c>
      <c r="O299" s="163">
        <v>1185.6799314058692</v>
      </c>
      <c r="P299" s="264">
        <v>0.74353448275862066</v>
      </c>
      <c r="S299" s="266"/>
    </row>
    <row r="300" spans="2:19" x14ac:dyDescent="0.2">
      <c r="B300" t="s">
        <v>390</v>
      </c>
      <c r="C300" s="266">
        <v>4.4105500795402916E-2</v>
      </c>
      <c r="D300" s="266">
        <v>0.11118856744510282</v>
      </c>
      <c r="E300" s="266">
        <v>0.23676741522680875</v>
      </c>
      <c r="F300" s="266">
        <v>0.454513767863367</v>
      </c>
      <c r="G300" s="266">
        <v>8.952845690384903E-2</v>
      </c>
      <c r="H300" s="266">
        <v>0.23132500124483393</v>
      </c>
      <c r="I300" s="266">
        <v>0.58730251098373532</v>
      </c>
      <c r="J300" s="266">
        <v>0.41269748901626468</v>
      </c>
      <c r="K300" s="266">
        <v>1.3792760045809888E-2</v>
      </c>
      <c r="L300" s="266">
        <v>4.0992381616292387E-2</v>
      </c>
      <c r="M300" s="266">
        <v>0.58662272533961657</v>
      </c>
      <c r="N300" s="266">
        <v>2.2756290202193132E-2</v>
      </c>
      <c r="O300" s="163">
        <v>1714.0139701696457</v>
      </c>
      <c r="P300" s="264">
        <v>1.5814303638644918</v>
      </c>
      <c r="S300" s="266"/>
    </row>
    <row r="301" spans="2:19" x14ac:dyDescent="0.2">
      <c r="B301" t="s">
        <v>525</v>
      </c>
      <c r="C301" s="266">
        <v>-1.0563809187783784E-2</v>
      </c>
      <c r="D301" s="266">
        <v>8.6258650552930013E-2</v>
      </c>
      <c r="E301" s="266">
        <v>0.55828297790631143</v>
      </c>
      <c r="F301" s="266">
        <v>0.14685758623121958</v>
      </c>
      <c r="G301" s="266">
        <v>4.8090412483443451E-2</v>
      </c>
      <c r="H301" s="266">
        <v>0.54368531189015068</v>
      </c>
      <c r="I301" s="266">
        <v>0.74526622224628702</v>
      </c>
      <c r="J301" s="266">
        <v>0.25473377775371298</v>
      </c>
      <c r="K301" s="266">
        <v>-1.8566849278565438E-2</v>
      </c>
      <c r="L301" s="266">
        <v>-1.4134638463154896E-2</v>
      </c>
      <c r="M301" s="266">
        <v>0.64495730233712201</v>
      </c>
      <c r="N301" s="266">
        <v>-1.4173852754242461E-2</v>
      </c>
      <c r="O301" s="163">
        <v>1755.6168024285053</v>
      </c>
      <c r="P301" s="264">
        <v>0.8906741813747302</v>
      </c>
      <c r="S301" s="266"/>
    </row>
    <row r="302" spans="2:19" ht="15" x14ac:dyDescent="0.25">
      <c r="B302" t="s">
        <v>174</v>
      </c>
      <c r="C302" s="266">
        <v>-3.984024036962789E-2</v>
      </c>
      <c r="D302" s="271">
        <v>7.5021312872975273E-3</v>
      </c>
      <c r="E302" s="271">
        <v>1.3856209150326797</v>
      </c>
      <c r="F302" s="271">
        <v>1.51179312304632E-2</v>
      </c>
      <c r="G302" s="271">
        <v>-0.12367149758454106</v>
      </c>
      <c r="H302" s="271">
        <v>1.4702949701619779</v>
      </c>
      <c r="I302" s="271">
        <v>1.3846509240246407</v>
      </c>
      <c r="J302" s="271">
        <v>-0.38465092402464068</v>
      </c>
      <c r="K302" s="271">
        <v>0.10906507530548451</v>
      </c>
      <c r="L302" s="271">
        <v>-7.9212844558113102E-2</v>
      </c>
      <c r="M302" s="271">
        <v>0.67990589654483269</v>
      </c>
      <c r="N302" s="271">
        <v>-3.4120130069999699E-2</v>
      </c>
      <c r="O302" s="272">
        <v>1417.9402993272001</v>
      </c>
      <c r="P302" s="264">
        <v>1</v>
      </c>
      <c r="S302" s="266"/>
    </row>
    <row r="303" spans="2:19" x14ac:dyDescent="0.2">
      <c r="B303" t="s">
        <v>412</v>
      </c>
      <c r="C303" s="266">
        <v>1.358916761132477E-2</v>
      </c>
      <c r="D303" s="266">
        <v>0</v>
      </c>
      <c r="E303" s="266">
        <v>1.1500521992362427</v>
      </c>
      <c r="F303" s="266">
        <v>5.8312041539602738E-3</v>
      </c>
      <c r="G303" s="266">
        <v>7.1918184565510038E-2</v>
      </c>
      <c r="H303" s="266">
        <v>1.1025667600758262</v>
      </c>
      <c r="I303" s="266">
        <v>0.81501884966971372</v>
      </c>
      <c r="J303" s="266">
        <v>0.18498115033028625</v>
      </c>
      <c r="K303" s="266">
        <v>4.1100030220610456E-2</v>
      </c>
      <c r="L303" s="266">
        <v>-2.6546058957663673E-3</v>
      </c>
      <c r="M303" s="266">
        <v>0.68426698364845318</v>
      </c>
      <c r="N303" s="266">
        <v>-3.204732758555489E-2</v>
      </c>
      <c r="O303" s="163">
        <v>1614.1611045574443</v>
      </c>
      <c r="P303" s="264">
        <v>1.4522764673614921</v>
      </c>
      <c r="S303" s="266"/>
    </row>
    <row r="304" spans="2:19" x14ac:dyDescent="0.2">
      <c r="B304" t="s">
        <v>195</v>
      </c>
      <c r="C304" s="266">
        <v>2.0264855611933336E-2</v>
      </c>
      <c r="D304" s="266">
        <v>0</v>
      </c>
      <c r="E304" s="266">
        <v>0.33153153153153153</v>
      </c>
      <c r="F304" s="266">
        <v>1.9476619476619477E-2</v>
      </c>
      <c r="G304" s="266">
        <v>4.1398541398541398E-2</v>
      </c>
      <c r="H304" s="266">
        <v>0.30613170313170313</v>
      </c>
      <c r="I304" s="266">
        <v>0.53432170405491475</v>
      </c>
      <c r="J304" s="266">
        <v>0.46567829594508525</v>
      </c>
      <c r="K304" s="266">
        <v>-2.5868725868725868E-2</v>
      </c>
      <c r="L304" s="266">
        <v>2.3712998712998715E-2</v>
      </c>
      <c r="M304" s="266">
        <v>0.36762392017750978</v>
      </c>
      <c r="N304" s="266">
        <v>3.5683576620273785E-2</v>
      </c>
      <c r="O304" s="163">
        <v>3189.5623672293127</v>
      </c>
      <c r="P304" s="264">
        <v>1.8272629887520087</v>
      </c>
      <c r="S304" s="266"/>
    </row>
    <row r="305" spans="2:19" x14ac:dyDescent="0.2">
      <c r="B305" t="s">
        <v>336</v>
      </c>
      <c r="C305" s="266">
        <v>7.6851712552028486E-3</v>
      </c>
      <c r="D305" s="266">
        <v>2.4561520841344948E-2</v>
      </c>
      <c r="E305" s="266">
        <v>0.32127271815278635</v>
      </c>
      <c r="F305" s="266">
        <v>9.0304134829206309E-2</v>
      </c>
      <c r="G305" s="266">
        <v>3.9458944306040898E-3</v>
      </c>
      <c r="H305" s="266">
        <v>0.32946546506378638</v>
      </c>
      <c r="I305" s="266">
        <v>0.56551934560564898</v>
      </c>
      <c r="J305" s="266">
        <v>0.43448065439435107</v>
      </c>
      <c r="K305" s="266">
        <v>-1.1804243508502064E-2</v>
      </c>
      <c r="L305" s="266">
        <v>4.9198281195137854E-3</v>
      </c>
      <c r="M305" s="266">
        <v>0.4137878639635893</v>
      </c>
      <c r="N305" s="266">
        <v>6.7297558411692243E-2</v>
      </c>
      <c r="O305" s="163">
        <v>3081.8810070880095</v>
      </c>
      <c r="P305" s="264">
        <v>1.4976447189364597</v>
      </c>
      <c r="S305" s="266"/>
    </row>
    <row r="306" spans="2:19" x14ac:dyDescent="0.2">
      <c r="B306" t="s">
        <v>391</v>
      </c>
      <c r="C306" s="266">
        <v>1.6116698248096428E-2</v>
      </c>
      <c r="D306" s="266">
        <v>6.4435480753121901E-2</v>
      </c>
      <c r="E306" s="266">
        <v>-0.30378751755866851</v>
      </c>
      <c r="F306" s="266">
        <v>0.47151307395904479</v>
      </c>
      <c r="G306" s="266">
        <v>8.5570318440145888E-3</v>
      </c>
      <c r="H306" s="266">
        <v>-0.25293916001907291</v>
      </c>
      <c r="I306" s="266">
        <v>0.27215906616141816</v>
      </c>
      <c r="J306" s="266">
        <v>0.72784093383858184</v>
      </c>
      <c r="K306" s="266">
        <v>-1.4021160611879325E-2</v>
      </c>
      <c r="L306" s="266">
        <v>4.1531889119424723E-2</v>
      </c>
      <c r="M306" s="266">
        <v>0.57620551628756</v>
      </c>
      <c r="N306" s="266">
        <v>5.007227723378891E-2</v>
      </c>
      <c r="O306" s="163">
        <v>1186.4687941926188</v>
      </c>
      <c r="P306" s="264">
        <v>1.3819660098244029</v>
      </c>
      <c r="S306" s="266"/>
    </row>
    <row r="307" spans="2:19" x14ac:dyDescent="0.2">
      <c r="B307" t="s">
        <v>413</v>
      </c>
      <c r="C307" s="266">
        <v>-9.806299522059388E-3</v>
      </c>
      <c r="D307" s="266">
        <v>3.766218060570461E-3</v>
      </c>
      <c r="E307" s="266">
        <v>0.72795121192750889</v>
      </c>
      <c r="F307" s="266">
        <v>0.20285748838173556</v>
      </c>
      <c r="G307" s="266">
        <v>0.25810687075652611</v>
      </c>
      <c r="H307" s="266">
        <v>0.57936250712644466</v>
      </c>
      <c r="I307" s="266">
        <v>0.8028704844979615</v>
      </c>
      <c r="J307" s="266">
        <v>0.1971295155020385</v>
      </c>
      <c r="K307" s="266">
        <v>-2.0904237859129624E-2</v>
      </c>
      <c r="L307" s="266">
        <v>-1.036573778138659E-4</v>
      </c>
      <c r="M307" s="266">
        <v>0.65705676680253911</v>
      </c>
      <c r="N307" s="266">
        <v>7.636566165928017E-3</v>
      </c>
      <c r="O307" s="163">
        <v>1506.9477113531302</v>
      </c>
      <c r="P307" s="264">
        <v>2.4466297889776687</v>
      </c>
      <c r="S307" s="266"/>
    </row>
    <row r="308" spans="2:19" x14ac:dyDescent="0.2">
      <c r="B308" t="s">
        <v>266</v>
      </c>
      <c r="C308" s="266">
        <v>5.7081153948595045E-2</v>
      </c>
      <c r="D308" s="266">
        <v>0.28166920850322141</v>
      </c>
      <c r="E308" s="266">
        <v>0.68396931121416793</v>
      </c>
      <c r="F308" s="266">
        <v>9.219085561330885E-2</v>
      </c>
      <c r="G308" s="266">
        <v>1.3764823057051262E-2</v>
      </c>
      <c r="H308" s="266">
        <v>0.68580978243954072</v>
      </c>
      <c r="I308" s="266">
        <v>0.8086356904850055</v>
      </c>
      <c r="J308" s="266">
        <v>0.19136430951499445</v>
      </c>
      <c r="K308" s="266">
        <v>-3.1933767001774097E-2</v>
      </c>
      <c r="L308" s="266">
        <v>8.4580908213763267E-2</v>
      </c>
      <c r="M308" s="266">
        <v>0.66215623701678461</v>
      </c>
      <c r="N308" s="266">
        <v>6.6792828011852153E-3</v>
      </c>
      <c r="O308" s="163">
        <v>1865.55596008773</v>
      </c>
      <c r="P308" s="264">
        <v>0.66081803776574677</v>
      </c>
      <c r="S308" s="266"/>
    </row>
    <row r="309" spans="2:19" x14ac:dyDescent="0.2">
      <c r="B309" t="s">
        <v>467</v>
      </c>
      <c r="C309" s="266">
        <v>2.6926980733195598E-2</v>
      </c>
      <c r="D309" s="266">
        <v>0</v>
      </c>
      <c r="E309" s="266">
        <v>-6.6156372178656511E-2</v>
      </c>
      <c r="F309" s="266">
        <v>5.2864277303485745E-2</v>
      </c>
      <c r="G309" s="266">
        <v>8.1185857126187089E-2</v>
      </c>
      <c r="H309" s="266">
        <v>-0.11420718317678358</v>
      </c>
      <c r="I309" s="266">
        <v>0.17573983161197965</v>
      </c>
      <c r="J309" s="266">
        <v>0.8242601683880203</v>
      </c>
      <c r="K309" s="266">
        <v>3.969358756905654E-2</v>
      </c>
      <c r="L309" s="266">
        <v>9.377368431598811E-3</v>
      </c>
      <c r="M309" s="266">
        <v>0.61521516157081446</v>
      </c>
      <c r="N309" s="266">
        <v>5.6413170100567851E-3</v>
      </c>
      <c r="O309" s="163">
        <v>2166.1961069491208</v>
      </c>
      <c r="P309" s="264">
        <v>1.4045581068371602</v>
      </c>
      <c r="S309" s="266"/>
    </row>
    <row r="310" spans="2:19" x14ac:dyDescent="0.2">
      <c r="B310" t="s">
        <v>218</v>
      </c>
      <c r="C310" s="266">
        <v>-2.3173284866332307E-2</v>
      </c>
      <c r="D310" s="266">
        <v>0</v>
      </c>
      <c r="E310" s="266">
        <v>1.040936843158843E-3</v>
      </c>
      <c r="F310" s="266">
        <v>0.25330797717946152</v>
      </c>
      <c r="G310" s="266">
        <v>-8.0872785506956261E-3</v>
      </c>
      <c r="H310" s="266">
        <v>3.6856370733660299E-2</v>
      </c>
      <c r="I310" s="266">
        <v>0.47858559508281667</v>
      </c>
      <c r="J310" s="266">
        <v>0.52141440491718338</v>
      </c>
      <c r="K310" s="266">
        <v>3.4911420278250428E-2</v>
      </c>
      <c r="L310" s="266">
        <v>-2.1354218796917224E-2</v>
      </c>
      <c r="M310" s="266">
        <v>0.52131465069712779</v>
      </c>
      <c r="N310" s="266">
        <v>1.3236837543071303E-2</v>
      </c>
      <c r="O310" s="163">
        <v>1261.3627543494706</v>
      </c>
      <c r="P310" s="264">
        <v>3.1759530791788855</v>
      </c>
      <c r="S310" s="266"/>
    </row>
    <row r="311" spans="2:19" x14ac:dyDescent="0.2">
      <c r="B311" t="s">
        <v>219</v>
      </c>
      <c r="C311" s="266">
        <v>2.1605645008342118E-2</v>
      </c>
      <c r="D311" s="266">
        <v>7.2552996281809848E-2</v>
      </c>
      <c r="E311" s="266">
        <v>0.35550968178086823</v>
      </c>
      <c r="F311" s="266">
        <v>0.13426529528224443</v>
      </c>
      <c r="G311" s="266">
        <v>0.13247863247863248</v>
      </c>
      <c r="H311" s="266">
        <v>0.28286083345405377</v>
      </c>
      <c r="I311" s="266">
        <v>0.55887176447342424</v>
      </c>
      <c r="J311" s="266">
        <v>0.44112823552657576</v>
      </c>
      <c r="K311" s="266">
        <v>-1.898932831136221E-2</v>
      </c>
      <c r="L311" s="266">
        <v>1.2603215993046502E-2</v>
      </c>
      <c r="M311" s="266">
        <v>0.69188951061782866</v>
      </c>
      <c r="N311" s="266">
        <v>8.6062132594105552E-3</v>
      </c>
      <c r="O311" s="163">
        <v>1468.9277912714595</v>
      </c>
      <c r="P311" s="264">
        <v>0.87608949092322208</v>
      </c>
      <c r="S311" s="266"/>
    </row>
    <row r="312" spans="2:19" x14ac:dyDescent="0.2">
      <c r="B312" t="s">
        <v>152</v>
      </c>
      <c r="C312" s="266">
        <v>1.8002384578153958E-2</v>
      </c>
      <c r="D312" s="266">
        <v>0.13487012071962046</v>
      </c>
      <c r="E312" s="266">
        <v>0.50063413030203396</v>
      </c>
      <c r="F312" s="266">
        <v>0.10675701066278359</v>
      </c>
      <c r="G312" s="266">
        <v>0.36094931654845225</v>
      </c>
      <c r="H312" s="266">
        <v>0.27160892949410498</v>
      </c>
      <c r="I312" s="266">
        <v>0.56109208395824473</v>
      </c>
      <c r="J312" s="266">
        <v>0.43890791604175527</v>
      </c>
      <c r="K312" s="266">
        <v>7.7082061158344692E-2</v>
      </c>
      <c r="L312" s="266">
        <v>3.0385410305791723E-2</v>
      </c>
      <c r="M312" s="266">
        <v>0.53016953281475043</v>
      </c>
      <c r="N312" s="266">
        <v>3.3109717605417581E-2</v>
      </c>
      <c r="O312" s="163">
        <v>1395.4280222355769</v>
      </c>
      <c r="P312" s="264">
        <v>1.2679738562091503</v>
      </c>
      <c r="S312" s="266"/>
    </row>
    <row r="313" spans="2:19" x14ac:dyDescent="0.2">
      <c r="B313" t="s">
        <v>196</v>
      </c>
      <c r="C313" s="266">
        <v>2.3397879207007838E-2</v>
      </c>
      <c r="D313" s="266">
        <v>0</v>
      </c>
      <c r="E313" s="266">
        <v>0.36201948493316216</v>
      </c>
      <c r="F313" s="266">
        <v>0.2186013141001435</v>
      </c>
      <c r="G313" s="266">
        <v>5.9864562092490498E-2</v>
      </c>
      <c r="H313" s="266">
        <v>0.34814238602321074</v>
      </c>
      <c r="I313" s="266">
        <v>0.63244054089308233</v>
      </c>
      <c r="J313" s="266">
        <v>0.36755945910691767</v>
      </c>
      <c r="K313" s="266">
        <v>1.7622032575585932E-2</v>
      </c>
      <c r="L313" s="266">
        <v>1.6042343226845907E-2</v>
      </c>
      <c r="M313" s="266">
        <v>0.67111535410113454</v>
      </c>
      <c r="N313" s="266">
        <v>-2.9848599792768112E-2</v>
      </c>
      <c r="O313" s="163">
        <v>1578.6140312695434</v>
      </c>
      <c r="P313" s="264">
        <v>0.78923590650166964</v>
      </c>
      <c r="S313" s="266"/>
    </row>
    <row r="314" spans="2:19" x14ac:dyDescent="0.2">
      <c r="B314" t="s">
        <v>468</v>
      </c>
      <c r="C314" s="266">
        <v>6.1420190411294248E-2</v>
      </c>
      <c r="D314" s="266">
        <v>0</v>
      </c>
      <c r="E314" s="266">
        <v>0.64858446079187881</v>
      </c>
      <c r="F314" s="266">
        <v>0.11025087024366823</v>
      </c>
      <c r="G314" s="266">
        <v>0.26962120822401703</v>
      </c>
      <c r="H314" s="266">
        <v>0.48116835571102762</v>
      </c>
      <c r="I314" s="266">
        <v>0.5602190457528109</v>
      </c>
      <c r="J314" s="266">
        <v>0.4397809542471891</v>
      </c>
      <c r="K314" s="266">
        <v>3.5512800727060721E-2</v>
      </c>
      <c r="L314" s="266">
        <v>7.4922406845345263E-2</v>
      </c>
      <c r="M314" s="266">
        <v>0.59939809566922853</v>
      </c>
      <c r="N314" s="266">
        <v>8.7219507701870556E-3</v>
      </c>
      <c r="O314" s="163">
        <v>1502.5171657766932</v>
      </c>
      <c r="P314" s="264">
        <v>1.3986928104575163</v>
      </c>
      <c r="S314" s="266"/>
    </row>
    <row r="315" spans="2:19" x14ac:dyDescent="0.2">
      <c r="B315" t="s">
        <v>337</v>
      </c>
      <c r="C315" s="266">
        <v>5.1793610041363574E-3</v>
      </c>
      <c r="D315" s="266">
        <v>3.0414781583849751E-4</v>
      </c>
      <c r="E315" s="266">
        <v>-4.0299585598600916E-3</v>
      </c>
      <c r="F315" s="266">
        <v>5.8624491502870392E-2</v>
      </c>
      <c r="G315" s="266">
        <v>0</v>
      </c>
      <c r="H315" s="266">
        <v>3.0049804204843548E-3</v>
      </c>
      <c r="I315" s="266">
        <v>0.22225830395249582</v>
      </c>
      <c r="J315" s="266">
        <v>0.77774169604750421</v>
      </c>
      <c r="K315" s="266">
        <v>2.448389917499905E-2</v>
      </c>
      <c r="L315" s="266">
        <v>-1.148158004790328E-2</v>
      </c>
      <c r="M315" s="266">
        <v>0.57125327590767294</v>
      </c>
      <c r="N315" s="266">
        <v>1.7881357087006697E-2</v>
      </c>
      <c r="O315" s="163">
        <v>1055.676595397179</v>
      </c>
      <c r="P315" s="264">
        <v>0.8985002678093198</v>
      </c>
      <c r="S315" s="266"/>
    </row>
    <row r="316" spans="2:19" x14ac:dyDescent="0.2">
      <c r="B316" t="s">
        <v>338</v>
      </c>
      <c r="C316" s="266">
        <v>-3.5156362796338542E-3</v>
      </c>
      <c r="D316" s="266">
        <v>0.12942700472884597</v>
      </c>
      <c r="E316" s="266">
        <v>0.87515092061575617</v>
      </c>
      <c r="F316" s="266">
        <v>3.9868195995572994E-2</v>
      </c>
      <c r="G316" s="266">
        <v>0.1549451655096086</v>
      </c>
      <c r="H316" s="266">
        <v>0.77612184324378708</v>
      </c>
      <c r="I316" s="266">
        <v>0.71767532413735968</v>
      </c>
      <c r="J316" s="266">
        <v>0.28232467586264032</v>
      </c>
      <c r="K316" s="266">
        <v>-3.1014186537881076E-2</v>
      </c>
      <c r="L316" s="266">
        <v>-6.8794647348827849E-3</v>
      </c>
      <c r="M316" s="266">
        <v>0.4977625203091488</v>
      </c>
      <c r="N316" s="266">
        <v>-5.4905369232802464E-4</v>
      </c>
      <c r="O316" s="163">
        <v>2261.0905092291359</v>
      </c>
      <c r="P316" s="264">
        <v>0.5520754566800653</v>
      </c>
      <c r="S316" s="266"/>
    </row>
    <row r="317" spans="2:19" x14ac:dyDescent="0.2">
      <c r="B317" t="s">
        <v>515</v>
      </c>
      <c r="C317" s="266">
        <v>0.11495881852477238</v>
      </c>
      <c r="D317" s="266">
        <v>0</v>
      </c>
      <c r="E317" s="266">
        <v>0.71915356761621696</v>
      </c>
      <c r="F317" s="266">
        <v>8.4999058124202026E-2</v>
      </c>
      <c r="G317" s="266">
        <v>0.24672959792368712</v>
      </c>
      <c r="H317" s="266">
        <v>0.56404462398225086</v>
      </c>
      <c r="I317" s="266">
        <v>0.58827945150635574</v>
      </c>
      <c r="J317" s="266">
        <v>0.41172054849364426</v>
      </c>
      <c r="K317" s="266">
        <v>0.15718860539590179</v>
      </c>
      <c r="L317" s="266">
        <v>8.3617640287167463E-2</v>
      </c>
      <c r="M317" s="266">
        <v>0.55184528966150925</v>
      </c>
      <c r="N317" s="266">
        <v>-2.7754902434134025E-2</v>
      </c>
      <c r="O317" s="163">
        <v>1531.6465618199802</v>
      </c>
      <c r="P317" s="264">
        <v>3.8507377979568673</v>
      </c>
      <c r="S317" s="266"/>
    </row>
    <row r="318" spans="2:19" x14ac:dyDescent="0.2">
      <c r="B318" t="s">
        <v>293</v>
      </c>
      <c r="C318" s="266">
        <v>8.5822182383081189E-2</v>
      </c>
      <c r="D318" s="266">
        <v>9.9917201718166648E-2</v>
      </c>
      <c r="E318" s="266">
        <v>0.57126926901530062</v>
      </c>
      <c r="F318" s="266">
        <v>4.965100592410112E-2</v>
      </c>
      <c r="G318" s="266">
        <v>1.2140792544608085E-2</v>
      </c>
      <c r="H318" s="266">
        <v>0.56909305872130544</v>
      </c>
      <c r="I318" s="266">
        <v>0.62207537376729583</v>
      </c>
      <c r="J318" s="266">
        <v>0.37792462623270417</v>
      </c>
      <c r="K318" s="266">
        <v>2.1338631332124779E-2</v>
      </c>
      <c r="L318" s="266">
        <v>5.1204496751497394E-2</v>
      </c>
      <c r="M318" s="266">
        <v>0.53425749061823458</v>
      </c>
      <c r="N318" s="266">
        <v>-1.0423729242064715E-2</v>
      </c>
      <c r="O318" s="163">
        <v>2618.8480969786001</v>
      </c>
      <c r="P318" s="264">
        <v>1.040428240854387</v>
      </c>
      <c r="S318" s="266"/>
    </row>
    <row r="319" spans="2:19" x14ac:dyDescent="0.2">
      <c r="B319" t="s">
        <v>294</v>
      </c>
      <c r="C319" s="266">
        <v>4.0935615827533391E-2</v>
      </c>
      <c r="D319" s="266">
        <v>5.8449940620643362E-2</v>
      </c>
      <c r="E319" s="266">
        <v>0.61434915061702899</v>
      </c>
      <c r="F319" s="266">
        <v>7.1415294056900919E-2</v>
      </c>
      <c r="G319" s="266">
        <v>2.7882480508080756E-2</v>
      </c>
      <c r="H319" s="266">
        <v>0.604237723963443</v>
      </c>
      <c r="I319" s="266">
        <v>0.81528763388304426</v>
      </c>
      <c r="J319" s="266">
        <v>0.1847123661169558</v>
      </c>
      <c r="K319" s="266">
        <v>9.3922651933701654E-2</v>
      </c>
      <c r="L319" s="266">
        <v>1.963520421335261E-2</v>
      </c>
      <c r="M319" s="266">
        <v>0.3319022679566046</v>
      </c>
      <c r="N319" s="266">
        <v>3.8976233981391342E-2</v>
      </c>
      <c r="O319" s="163">
        <v>1300.9125170873035</v>
      </c>
      <c r="P319" s="264">
        <v>0.75963718820861681</v>
      </c>
      <c r="S319" s="266"/>
    </row>
    <row r="320" spans="2:19" x14ac:dyDescent="0.2">
      <c r="B320" t="s">
        <v>505</v>
      </c>
      <c r="C320" s="266">
        <v>1.3222422248432553E-2</v>
      </c>
      <c r="D320" s="266">
        <v>0.33750566577176527</v>
      </c>
      <c r="E320" s="266">
        <v>0.78428227746591817</v>
      </c>
      <c r="F320" s="266">
        <v>1.5829294654998081E-2</v>
      </c>
      <c r="G320" s="266">
        <v>0.28360238485408457</v>
      </c>
      <c r="H320" s="266">
        <v>0.59616819497228124</v>
      </c>
      <c r="I320" s="266">
        <v>0.74998440132276778</v>
      </c>
      <c r="J320" s="266">
        <v>0.25001559867723216</v>
      </c>
      <c r="K320" s="266">
        <v>3.9398905198563513E-3</v>
      </c>
      <c r="L320" s="266">
        <v>-2.5530839231547017E-2</v>
      </c>
      <c r="M320" s="266">
        <v>0.67889597044137351</v>
      </c>
      <c r="N320" s="266">
        <v>3.0321182465923892E-3</v>
      </c>
      <c r="O320" s="163">
        <v>1683.4389034319283</v>
      </c>
      <c r="P320" s="264">
        <v>0.38044206296048227</v>
      </c>
      <c r="S320" s="266"/>
    </row>
    <row r="321" spans="2:19" x14ac:dyDescent="0.2">
      <c r="B321" t="s">
        <v>506</v>
      </c>
      <c r="C321" s="266">
        <v>5.6175771662428507E-2</v>
      </c>
      <c r="D321" s="266">
        <v>0</v>
      </c>
      <c r="E321" s="266">
        <v>1.8141792951628436E-2</v>
      </c>
      <c r="F321" s="266">
        <v>1.6687304675983252E-2</v>
      </c>
      <c r="G321" s="266">
        <v>-9.1396898402028425E-3</v>
      </c>
      <c r="H321" s="266">
        <v>2.6267861705682332E-2</v>
      </c>
      <c r="I321" s="266">
        <v>0.29583025245589945</v>
      </c>
      <c r="J321" s="266">
        <v>0.70416974754410055</v>
      </c>
      <c r="K321" s="266">
        <v>-3.5005994850325295E-2</v>
      </c>
      <c r="L321" s="266">
        <v>8.8055506417438131E-3</v>
      </c>
      <c r="M321" s="266">
        <v>0.55934744904405043</v>
      </c>
      <c r="N321" s="266">
        <v>-2.1337113421409842E-2</v>
      </c>
      <c r="O321" s="163">
        <v>1907.9495693430658</v>
      </c>
      <c r="P321" s="264">
        <v>2.0734599537734901</v>
      </c>
      <c r="S321" s="266"/>
    </row>
    <row r="322" spans="2:19" x14ac:dyDescent="0.2">
      <c r="B322" t="s">
        <v>469</v>
      </c>
      <c r="C322" s="266">
        <v>2.7900128271872233E-2</v>
      </c>
      <c r="D322" s="266">
        <v>7.0722244564831685E-2</v>
      </c>
      <c r="E322" s="266">
        <v>0.6263395708641859</v>
      </c>
      <c r="F322" s="266">
        <v>1.5731825601476188E-3</v>
      </c>
      <c r="G322" s="266">
        <v>0.23389557852901516</v>
      </c>
      <c r="H322" s="266">
        <v>0.46981831515696348</v>
      </c>
      <c r="I322" s="266">
        <v>0.60558860645393908</v>
      </c>
      <c r="J322" s="266">
        <v>0.39441139354606092</v>
      </c>
      <c r="K322" s="266">
        <v>5.5806581344183953E-2</v>
      </c>
      <c r="L322" s="266">
        <v>5.9467483617610178E-3</v>
      </c>
      <c r="M322" s="266">
        <v>0.55557093768474275</v>
      </c>
      <c r="N322" s="266">
        <v>5.8166025683403424E-3</v>
      </c>
      <c r="O322" s="163">
        <v>1476.1405879075865</v>
      </c>
      <c r="P322" s="264">
        <v>0.62641327880683184</v>
      </c>
      <c r="S322" s="266"/>
    </row>
    <row r="323" spans="2:19" x14ac:dyDescent="0.2">
      <c r="B323" t="s">
        <v>175</v>
      </c>
      <c r="C323" s="266">
        <v>-1.8404246290507378E-2</v>
      </c>
      <c r="D323" s="266">
        <v>3.5204042699315763E-2</v>
      </c>
      <c r="E323" s="266">
        <v>5.3255441279962012E-2</v>
      </c>
      <c r="F323" s="266">
        <v>1.0564604336066338E-2</v>
      </c>
      <c r="G323" s="266">
        <v>0.18249802867535464</v>
      </c>
      <c r="H323" s="266">
        <v>-6.775048541219765E-2</v>
      </c>
      <c r="I323" s="266">
        <v>0.41705274750313293</v>
      </c>
      <c r="J323" s="266">
        <v>0.58294725249686707</v>
      </c>
      <c r="K323" s="266">
        <v>-3.3677855877091087E-2</v>
      </c>
      <c r="L323" s="266">
        <v>-3.3985212945455777E-2</v>
      </c>
      <c r="M323" s="266">
        <v>0.59089010559241317</v>
      </c>
      <c r="N323" s="266">
        <v>-2.6433813902082982E-2</v>
      </c>
      <c r="O323" s="163">
        <v>2588.5199854682846</v>
      </c>
      <c r="P323" s="264">
        <v>1.5291450450904327</v>
      </c>
      <c r="S323" s="266"/>
    </row>
    <row r="324" spans="2:19" x14ac:dyDescent="0.2">
      <c r="B324" t="s">
        <v>295</v>
      </c>
      <c r="C324" s="266">
        <v>2.087961677311858E-2</v>
      </c>
      <c r="D324" s="266">
        <v>0.13112850971922246</v>
      </c>
      <c r="E324" s="266">
        <v>0.75424406047516201</v>
      </c>
      <c r="F324" s="266">
        <v>5.4611231101511878E-2</v>
      </c>
      <c r="G324" s="266">
        <v>7.476241900647948E-2</v>
      </c>
      <c r="H324" s="266">
        <v>0.71070658747300219</v>
      </c>
      <c r="I324" s="266">
        <v>0.62169185529645077</v>
      </c>
      <c r="J324" s="266">
        <v>0.37830814470354918</v>
      </c>
      <c r="K324" s="266">
        <v>6.1285097192224618E-3</v>
      </c>
      <c r="L324" s="266">
        <v>1.7174676025917927E-2</v>
      </c>
      <c r="M324" s="266">
        <v>0.59415803054766181</v>
      </c>
      <c r="N324" s="266">
        <v>1.0949178658271986E-2</v>
      </c>
      <c r="O324" s="163">
        <v>1621.4078078526538</v>
      </c>
      <c r="P324" s="264">
        <v>0.48075405326177645</v>
      </c>
      <c r="S324" s="266"/>
    </row>
    <row r="325" spans="2:19" x14ac:dyDescent="0.2">
      <c r="B325" t="s">
        <v>414</v>
      </c>
      <c r="C325" s="266">
        <v>1.2125898814536504E-2</v>
      </c>
      <c r="D325" s="266">
        <v>2.6503615549204267E-2</v>
      </c>
      <c r="E325" s="266">
        <v>0.40494151087788344</v>
      </c>
      <c r="F325" s="266">
        <v>7.7855346795983077E-2</v>
      </c>
      <c r="G325" s="266">
        <v>3.8060878664355216E-2</v>
      </c>
      <c r="H325" s="266">
        <v>0.38878336378828338</v>
      </c>
      <c r="I325" s="266">
        <v>0.58490590525632702</v>
      </c>
      <c r="J325" s="266">
        <v>0.41509409474367293</v>
      </c>
      <c r="K325" s="266">
        <v>7.3872776398194562E-2</v>
      </c>
      <c r="L325" s="266">
        <v>5.650174139842884E-2</v>
      </c>
      <c r="M325" s="266">
        <v>0.42341004237959234</v>
      </c>
      <c r="N325" s="266">
        <v>4.6410065478556126E-2</v>
      </c>
      <c r="O325" s="163">
        <v>2002.6551022831052</v>
      </c>
      <c r="P325" s="264">
        <v>1.550674928081434</v>
      </c>
      <c r="S325" s="266"/>
    </row>
    <row r="326" spans="2:19" x14ac:dyDescent="0.2">
      <c r="B326" t="s">
        <v>471</v>
      </c>
      <c r="C326" s="266">
        <v>5.5377832367822837E-2</v>
      </c>
      <c r="D326" s="266">
        <v>0.13351455904647394</v>
      </c>
      <c r="E326" s="266">
        <v>1.3741875337620018</v>
      </c>
      <c r="F326" s="266">
        <v>4.2344084897276389E-2</v>
      </c>
      <c r="G326" s="266">
        <v>0.94526634952166866</v>
      </c>
      <c r="H326" s="266">
        <v>0.74594036977015687</v>
      </c>
      <c r="I326" s="266">
        <v>0.70715284652492971</v>
      </c>
      <c r="J326" s="266">
        <v>0.29284715347507034</v>
      </c>
      <c r="K326" s="266">
        <v>8.4226392737031031E-2</v>
      </c>
      <c r="L326" s="266">
        <v>3.4099621865579313E-2</v>
      </c>
      <c r="M326" s="266">
        <v>0.5675980366529334</v>
      </c>
      <c r="N326" s="266">
        <v>2.7788569370940378E-2</v>
      </c>
      <c r="O326" s="163">
        <v>1390.3410856440071</v>
      </c>
      <c r="P326" s="264">
        <v>0.31479373339838457</v>
      </c>
      <c r="S326" s="266"/>
    </row>
    <row r="327" spans="2:19" x14ac:dyDescent="0.2">
      <c r="B327" t="s">
        <v>339</v>
      </c>
      <c r="C327" s="266">
        <v>6.8045916109649024E-2</v>
      </c>
      <c r="D327" s="266">
        <v>2.9424226731321501E-2</v>
      </c>
      <c r="E327" s="266">
        <v>0.9010463255025658</v>
      </c>
      <c r="F327" s="266">
        <v>4.833811967421496E-2</v>
      </c>
      <c r="G327" s="266">
        <v>0.13018454875005886</v>
      </c>
      <c r="H327" s="266">
        <v>0.81962325220093213</v>
      </c>
      <c r="I327" s="266">
        <v>0.7453583502631641</v>
      </c>
      <c r="J327" s="266">
        <v>0.2546416497368359</v>
      </c>
      <c r="K327" s="266">
        <v>1.0575067087236947E-2</v>
      </c>
      <c r="L327" s="266">
        <v>5.1131950002353939E-2</v>
      </c>
      <c r="M327" s="266">
        <v>0.63641755040322001</v>
      </c>
      <c r="N327" s="266">
        <v>5.088645404192728E-3</v>
      </c>
      <c r="O327" s="163">
        <v>1342.601927696586</v>
      </c>
      <c r="P327" s="264">
        <v>1.0195967054813972</v>
      </c>
      <c r="S327" s="266"/>
    </row>
    <row r="328" spans="2:19" x14ac:dyDescent="0.2">
      <c r="B328" t="s">
        <v>507</v>
      </c>
      <c r="C328" s="266">
        <v>4.9246945329707512E-2</v>
      </c>
      <c r="D328" s="266">
        <v>0</v>
      </c>
      <c r="E328" s="266">
        <v>0.68820345702587837</v>
      </c>
      <c r="F328" s="266">
        <v>0.14077183732986004</v>
      </c>
      <c r="G328" s="266">
        <v>3.8939540965912331E-2</v>
      </c>
      <c r="H328" s="266">
        <v>0.67900658505830025</v>
      </c>
      <c r="I328" s="266">
        <v>0.79936191646726551</v>
      </c>
      <c r="J328" s="266">
        <v>0.20063808353273443</v>
      </c>
      <c r="K328" s="266">
        <v>-3.6965061310058174E-2</v>
      </c>
      <c r="L328" s="266">
        <v>2.8173956587393429E-2</v>
      </c>
      <c r="M328" s="266">
        <v>0.68363385237326424</v>
      </c>
      <c r="N328" s="266">
        <v>-3.3589936919243085E-2</v>
      </c>
      <c r="O328" s="163">
        <v>1908.2019648990824</v>
      </c>
      <c r="P328" s="264">
        <v>1.027143986051704</v>
      </c>
      <c r="S328" s="266"/>
    </row>
    <row r="329" spans="2:19" x14ac:dyDescent="0.2">
      <c r="B329" t="s">
        <v>508</v>
      </c>
      <c r="C329" s="266">
        <v>2.0946526690609941E-2</v>
      </c>
      <c r="D329" s="266">
        <v>0</v>
      </c>
      <c r="E329" s="266">
        <v>0.4247787610619469</v>
      </c>
      <c r="F329" s="266">
        <v>0.10901166653379042</v>
      </c>
      <c r="G329" s="266">
        <v>9.1356843569232946E-2</v>
      </c>
      <c r="H329" s="266">
        <v>0.37665107585461566</v>
      </c>
      <c r="I329" s="266">
        <v>0.62751191947730889</v>
      </c>
      <c r="J329" s="266">
        <v>0.37248808052269117</v>
      </c>
      <c r="K329" s="266">
        <v>1.232205656984418E-2</v>
      </c>
      <c r="L329" s="266">
        <v>3.764826773676331E-4</v>
      </c>
      <c r="M329" s="266">
        <v>0.68649749129885851</v>
      </c>
      <c r="N329" s="266">
        <v>-3.9429863190292611E-2</v>
      </c>
      <c r="O329" s="163">
        <v>1469.2607331405225</v>
      </c>
      <c r="P329" s="264">
        <v>1.503256513026052</v>
      </c>
      <c r="S329" s="266"/>
    </row>
    <row r="330" spans="2:19" x14ac:dyDescent="0.2">
      <c r="B330" t="s">
        <v>296</v>
      </c>
      <c r="C330" s="266">
        <v>5.2104859285185864E-2</v>
      </c>
      <c r="D330" s="266">
        <v>6.6853216073706048E-2</v>
      </c>
      <c r="E330" s="266">
        <v>0.63205984809548288</v>
      </c>
      <c r="F330" s="266">
        <v>0</v>
      </c>
      <c r="G330" s="266">
        <v>0.32809852854396282</v>
      </c>
      <c r="H330" s="266">
        <v>0.41223383397102775</v>
      </c>
      <c r="I330" s="266">
        <v>0.49024236116273884</v>
      </c>
      <c r="J330" s="266">
        <v>0.50975763883726122</v>
      </c>
      <c r="K330" s="266">
        <v>0.12955665962347476</v>
      </c>
      <c r="L330" s="266">
        <v>6.0033693107189763E-2</v>
      </c>
      <c r="M330" s="266">
        <v>0.49080943801787702</v>
      </c>
      <c r="N330" s="266">
        <v>8.1277535964455489E-3</v>
      </c>
      <c r="O330" s="163">
        <v>1240.0860981178021</v>
      </c>
      <c r="P330" s="264">
        <v>0.74022215269086356</v>
      </c>
      <c r="S330" s="266"/>
    </row>
    <row r="331" spans="2:19" x14ac:dyDescent="0.2">
      <c r="B331" t="s">
        <v>392</v>
      </c>
      <c r="C331" s="266">
        <v>3.6448983081143675E-3</v>
      </c>
      <c r="D331" s="266">
        <v>2.2157016118246407E-2</v>
      </c>
      <c r="E331" s="266">
        <v>0.99897057214303375</v>
      </c>
      <c r="F331" s="266">
        <v>1.3698685655692858E-2</v>
      </c>
      <c r="G331" s="266">
        <v>7.7969028001248289E-2</v>
      </c>
      <c r="H331" s="266">
        <v>0.94837516566088054</v>
      </c>
      <c r="I331" s="266">
        <v>0.75997770923511576</v>
      </c>
      <c r="J331" s="266">
        <v>0.24002229076488427</v>
      </c>
      <c r="K331" s="266">
        <v>6.1498182289787998E-2</v>
      </c>
      <c r="L331" s="266">
        <v>1.4192122039888302E-2</v>
      </c>
      <c r="M331" s="266">
        <v>0.70422961852818278</v>
      </c>
      <c r="N331" s="266">
        <v>-1.1978639276514706E-2</v>
      </c>
      <c r="O331" s="163">
        <v>2070.4851826066442</v>
      </c>
      <c r="P331" s="264">
        <v>1.1070256271268106</v>
      </c>
      <c r="S331" s="266"/>
    </row>
    <row r="332" spans="2:19" x14ac:dyDescent="0.2">
      <c r="B332" t="s">
        <v>197</v>
      </c>
      <c r="C332" s="266">
        <v>0.14246416031131884</v>
      </c>
      <c r="D332" s="266">
        <v>0</v>
      </c>
      <c r="E332" s="266">
        <v>0.35055149066288088</v>
      </c>
      <c r="F332" s="266">
        <v>0.10713115649230097</v>
      </c>
      <c r="G332" s="266">
        <v>6.5523643114557173E-4</v>
      </c>
      <c r="H332" s="266">
        <v>0.36296822103308951</v>
      </c>
      <c r="I332" s="266">
        <v>0.54974262002311169</v>
      </c>
      <c r="J332" s="266">
        <v>0.45025737997688831</v>
      </c>
      <c r="K332" s="266">
        <v>8.7364857486076227E-4</v>
      </c>
      <c r="L332" s="266">
        <v>0.1366987004477449</v>
      </c>
      <c r="M332" s="266">
        <v>0.30186464224603826</v>
      </c>
      <c r="N332" s="266">
        <v>3.1955129615297805E-2</v>
      </c>
      <c r="O332" s="163">
        <v>5685.3595588235294</v>
      </c>
      <c r="P332" s="264">
        <v>6.5093360995850622</v>
      </c>
      <c r="S332" s="266"/>
    </row>
    <row r="333" spans="2:19" ht="15" x14ac:dyDescent="0.25">
      <c r="B333" t="s">
        <v>415</v>
      </c>
      <c r="C333" s="266">
        <v>6.3073421186152711E-4</v>
      </c>
      <c r="D333" s="271">
        <v>5.8753303519421568E-2</v>
      </c>
      <c r="E333" s="271">
        <v>1.0888111181179687</v>
      </c>
      <c r="F333" s="271">
        <v>5.9980840790822831E-3</v>
      </c>
      <c r="G333" s="271">
        <v>8.5542499265884569E-3</v>
      </c>
      <c r="H333" s="271">
        <v>1.0837995407566443</v>
      </c>
      <c r="I333" s="271">
        <v>1.4264626359086463</v>
      </c>
      <c r="J333" s="271">
        <v>-0.42646263590864636</v>
      </c>
      <c r="K333" s="271">
        <v>-0.32910514939850671</v>
      </c>
      <c r="L333" s="271">
        <v>7.8442038578367419E-3</v>
      </c>
      <c r="M333" s="271">
        <v>0.72352465324781468</v>
      </c>
      <c r="N333" s="271">
        <v>-1.4129388965224738E-2</v>
      </c>
      <c r="O333" s="272">
        <v>2017.3898970697537</v>
      </c>
      <c r="P333" s="264">
        <v>0.55361138820738187</v>
      </c>
      <c r="S333" s="266"/>
    </row>
    <row r="334" spans="2:19" x14ac:dyDescent="0.2">
      <c r="B334" t="s">
        <v>509</v>
      </c>
      <c r="C334" s="266">
        <v>5.5508712759977513E-2</v>
      </c>
      <c r="D334" s="266">
        <v>0</v>
      </c>
      <c r="E334" s="266">
        <v>0.28645698904907635</v>
      </c>
      <c r="F334" s="266">
        <v>0.44072858670403009</v>
      </c>
      <c r="G334" s="266">
        <v>-1.8067180413701559E-3</v>
      </c>
      <c r="H334" s="266">
        <v>0.34055492054127801</v>
      </c>
      <c r="I334" s="266">
        <v>0.51463480971609099</v>
      </c>
      <c r="J334" s="266">
        <v>0.48536519028390901</v>
      </c>
      <c r="K334" s="266">
        <v>2.2123078057593747E-2</v>
      </c>
      <c r="L334" s="266">
        <v>7.5541093617491978E-2</v>
      </c>
      <c r="M334" s="266">
        <v>0.66050936790952752</v>
      </c>
      <c r="N334" s="266">
        <v>1.2679445823384381E-2</v>
      </c>
      <c r="O334" s="163">
        <v>1320.8408889602053</v>
      </c>
      <c r="P334" s="264">
        <v>1.0465765185662159</v>
      </c>
      <c r="S334" s="266"/>
    </row>
    <row r="335" spans="2:19" x14ac:dyDescent="0.2">
      <c r="B335" t="s">
        <v>393</v>
      </c>
      <c r="C335" s="266">
        <v>4.7522253898068419E-2</v>
      </c>
      <c r="D335" s="266">
        <v>4.5162147289322378E-2</v>
      </c>
      <c r="E335" s="266">
        <v>0.48221028862027743</v>
      </c>
      <c r="F335" s="266">
        <v>0.1535323250915577</v>
      </c>
      <c r="G335" s="266">
        <v>0.15797263705193648</v>
      </c>
      <c r="H335" s="266">
        <v>0.39479250080646688</v>
      </c>
      <c r="I335" s="266">
        <v>0.50962355941809934</v>
      </c>
      <c r="J335" s="266">
        <v>0.49037644058190061</v>
      </c>
      <c r="K335" s="266">
        <v>-8.5959885386819486E-3</v>
      </c>
      <c r="L335" s="266">
        <v>1.4502172716749844E-2</v>
      </c>
      <c r="M335" s="266">
        <v>0.59540480311736177</v>
      </c>
      <c r="N335" s="266">
        <v>2.9000893056171123E-2</v>
      </c>
      <c r="O335" s="163">
        <v>1392.7426715115132</v>
      </c>
      <c r="P335" s="264">
        <v>0.82862782116193257</v>
      </c>
      <c r="S335" s="266"/>
    </row>
    <row r="336" spans="2:19" x14ac:dyDescent="0.2">
      <c r="B336" t="s">
        <v>267</v>
      </c>
      <c r="C336" s="266">
        <v>2.1955552706212716E-2</v>
      </c>
      <c r="D336" s="266">
        <v>0.1469102345344441</v>
      </c>
      <c r="E336" s="266">
        <v>0.77518485061393827</v>
      </c>
      <c r="F336" s="266">
        <v>2.6648599819331528E-2</v>
      </c>
      <c r="G336" s="266">
        <v>0.31021446016929305</v>
      </c>
      <c r="H336" s="266">
        <v>0.5705389942788317</v>
      </c>
      <c r="I336" s="266">
        <v>0.5958012310076185</v>
      </c>
      <c r="J336" s="266">
        <v>0.40419876899238155</v>
      </c>
      <c r="K336" s="266">
        <v>3.4879052494228645E-2</v>
      </c>
      <c r="L336" s="266">
        <v>7.8875171467764058E-2</v>
      </c>
      <c r="M336" s="266">
        <v>0.56229537714312983</v>
      </c>
      <c r="N336" s="266">
        <v>1.6825453994047997E-2</v>
      </c>
      <c r="O336" s="163">
        <v>1311.6229570247935</v>
      </c>
      <c r="P336" s="264">
        <v>0.39208140025305777</v>
      </c>
      <c r="S336" s="266"/>
    </row>
    <row r="337" spans="2:19" x14ac:dyDescent="0.2">
      <c r="B337" t="s">
        <v>472</v>
      </c>
      <c r="C337" s="266">
        <v>6.5970061122548315E-2</v>
      </c>
      <c r="D337" s="266">
        <v>2.5176233635448138E-2</v>
      </c>
      <c r="E337" s="266">
        <v>0.73657792044310166</v>
      </c>
      <c r="F337" s="266">
        <v>6.9706696878147033E-3</v>
      </c>
      <c r="G337" s="266">
        <v>1.9889224572004028E-2</v>
      </c>
      <c r="H337" s="266">
        <v>0.72408862034239674</v>
      </c>
      <c r="I337" s="266">
        <v>0.56384538863079303</v>
      </c>
      <c r="J337" s="266">
        <v>0.43615461136920697</v>
      </c>
      <c r="K337" s="266">
        <v>1.5042799597180263E-2</v>
      </c>
      <c r="L337" s="266">
        <v>7.6909459969788513E-2</v>
      </c>
      <c r="M337" s="266">
        <v>0.59464087191019799</v>
      </c>
      <c r="N337" s="266">
        <v>1.0737587272516424E-2</v>
      </c>
      <c r="O337" s="163">
        <v>1363.742075522126</v>
      </c>
      <c r="P337" s="264">
        <v>0.83290286355979781</v>
      </c>
      <c r="S337" s="266"/>
    </row>
    <row r="338" spans="2:19" x14ac:dyDescent="0.2">
      <c r="B338" t="s">
        <v>820</v>
      </c>
      <c r="C338" s="266">
        <v>-1.9708658056561121E-2</v>
      </c>
      <c r="D338" s="266">
        <v>0</v>
      </c>
      <c r="E338" s="266">
        <v>0.15962662504969008</v>
      </c>
      <c r="F338" s="266">
        <v>3.3126720749105578E-3</v>
      </c>
      <c r="G338" s="266">
        <v>0.18135775386110334</v>
      </c>
      <c r="H338" s="266">
        <v>3.8514450611740095E-2</v>
      </c>
      <c r="I338" s="266">
        <v>0.3274816634316437</v>
      </c>
      <c r="J338" s="266">
        <v>0.67251833656835636</v>
      </c>
      <c r="K338" s="266">
        <v>2.1421946084421606E-2</v>
      </c>
      <c r="L338" s="266">
        <v>-3.3973292501582723E-3</v>
      </c>
      <c r="M338" s="266">
        <v>0.6268946108315544</v>
      </c>
      <c r="N338" s="266">
        <v>-3.1592358324227269E-3</v>
      </c>
      <c r="O338" s="163">
        <v>1638.650092029093</v>
      </c>
      <c r="P338" s="264">
        <v>2.1840524303659201</v>
      </c>
      <c r="S338" s="266"/>
    </row>
    <row r="339" spans="2:19" x14ac:dyDescent="0.2">
      <c r="B339" t="s">
        <v>473</v>
      </c>
      <c r="C339" s="266">
        <v>2.0585777942814704E-2</v>
      </c>
      <c r="D339" s="266">
        <v>0</v>
      </c>
      <c r="E339" s="266">
        <v>-0.18406174279816925</v>
      </c>
      <c r="F339" s="266">
        <v>1.5615184420712556E-2</v>
      </c>
      <c r="G339" s="266">
        <v>8.9802267492297111E-2</v>
      </c>
      <c r="H339" s="266">
        <v>-0.24235543988752281</v>
      </c>
      <c r="I339" s="266">
        <v>0.14067801067774768</v>
      </c>
      <c r="J339" s="266">
        <v>0.85932198932225234</v>
      </c>
      <c r="K339" s="266">
        <v>-2.9914146399832482E-5</v>
      </c>
      <c r="L339" s="266">
        <v>4.7862634239731972E-2</v>
      </c>
      <c r="M339" s="266">
        <v>0.57836481644874027</v>
      </c>
      <c r="N339" s="266">
        <v>5.1832328071611644E-2</v>
      </c>
      <c r="O339" s="163">
        <v>1427.4926310806013</v>
      </c>
      <c r="P339" s="264">
        <v>2.0557947949822131</v>
      </c>
      <c r="S339" s="266"/>
    </row>
    <row r="340" spans="2:19" x14ac:dyDescent="0.2">
      <c r="B340" t="s">
        <v>474</v>
      </c>
      <c r="C340" s="266">
        <v>3.6614148001537825E-2</v>
      </c>
      <c r="D340" s="266">
        <v>6.336539274703816E-2</v>
      </c>
      <c r="E340" s="266">
        <v>1.1611812010363571</v>
      </c>
      <c r="F340" s="266">
        <v>0.20184360849074737</v>
      </c>
      <c r="G340" s="266">
        <v>0.19872992442589046</v>
      </c>
      <c r="H340" s="266">
        <v>1.0522533846899003</v>
      </c>
      <c r="I340" s="266">
        <v>0.68793714217341018</v>
      </c>
      <c r="J340" s="266">
        <v>0.31206285782658982</v>
      </c>
      <c r="K340" s="266">
        <v>-3.8455920228183067E-2</v>
      </c>
      <c r="L340" s="266">
        <v>6.4243759177679882E-2</v>
      </c>
      <c r="M340" s="266">
        <v>0.57129019714174534</v>
      </c>
      <c r="N340" s="266">
        <v>7.2679312362623587E-4</v>
      </c>
      <c r="O340" s="163">
        <v>1526.6117457873759</v>
      </c>
      <c r="P340" s="264">
        <v>0.5350967741935484</v>
      </c>
      <c r="S340" s="266"/>
    </row>
    <row r="341" spans="2:19" x14ac:dyDescent="0.2">
      <c r="B341" t="s">
        <v>394</v>
      </c>
      <c r="C341" s="266">
        <v>1.8947573128042811E-2</v>
      </c>
      <c r="D341" s="266">
        <v>0</v>
      </c>
      <c r="E341" s="266">
        <v>0.90987326924548029</v>
      </c>
      <c r="F341" s="266">
        <v>9.817171124767321E-3</v>
      </c>
      <c r="G341" s="266">
        <v>0.78840808832904097</v>
      </c>
      <c r="H341" s="266">
        <v>0.38281791059999482</v>
      </c>
      <c r="I341" s="266">
        <v>0.6626140348833145</v>
      </c>
      <c r="J341" s="266">
        <v>0.3373859651166855</v>
      </c>
      <c r="K341" s="266">
        <v>5.563913608894102E-2</v>
      </c>
      <c r="L341" s="266">
        <v>4.2283958487390673E-2</v>
      </c>
      <c r="M341" s="266">
        <v>0.46876462125441148</v>
      </c>
      <c r="N341" s="266">
        <v>-2.1173312213190951E-2</v>
      </c>
      <c r="O341" s="163">
        <v>1295.9219633705154</v>
      </c>
      <c r="P341" s="264">
        <v>4.813179527976664</v>
      </c>
      <c r="S341" s="266"/>
    </row>
    <row r="342" spans="2:19" x14ac:dyDescent="0.2">
      <c r="B342" t="s">
        <v>268</v>
      </c>
      <c r="C342" s="266">
        <v>5.6208167441172486E-3</v>
      </c>
      <c r="D342" s="266">
        <v>5.3694734694315877E-2</v>
      </c>
      <c r="E342" s="266">
        <v>0.49039401196318688</v>
      </c>
      <c r="F342" s="266">
        <v>5.6465383004542576E-2</v>
      </c>
      <c r="G342" s="266">
        <v>9.3321448898720984E-3</v>
      </c>
      <c r="H342" s="266">
        <v>0.49091732084751766</v>
      </c>
      <c r="I342" s="266">
        <v>0.60591018865906798</v>
      </c>
      <c r="J342" s="266">
        <v>0.39408981134093196</v>
      </c>
      <c r="K342" s="266">
        <v>-6.7547976245449365E-2</v>
      </c>
      <c r="L342" s="266">
        <v>1.0406039583758417E-2</v>
      </c>
      <c r="M342" s="266">
        <v>0.62816675891274909</v>
      </c>
      <c r="N342" s="266">
        <v>-1.6654156295882003E-2</v>
      </c>
      <c r="O342" s="163">
        <v>1442.4675351326077</v>
      </c>
      <c r="P342" s="264">
        <v>0.83181441590720795</v>
      </c>
      <c r="S342" s="266"/>
    </row>
    <row r="343" spans="2:19" x14ac:dyDescent="0.2">
      <c r="B343" t="s">
        <v>395</v>
      </c>
      <c r="C343" s="266">
        <v>-2.0027149480810254E-2</v>
      </c>
      <c r="D343" s="266">
        <v>0</v>
      </c>
      <c r="E343" s="266">
        <v>-0.68186989347398907</v>
      </c>
      <c r="F343" s="266">
        <v>6.1623056503602579E-2</v>
      </c>
      <c r="G343" s="266">
        <v>0</v>
      </c>
      <c r="H343" s="266">
        <v>-0.6744751266935568</v>
      </c>
      <c r="I343" s="266">
        <v>8.6899516896800186E-2</v>
      </c>
      <c r="J343" s="266">
        <v>0.9131004831031998</v>
      </c>
      <c r="K343" s="266">
        <v>-0.12126383286792843</v>
      </c>
      <c r="L343" s="266">
        <v>-3.1147654014548214E-2</v>
      </c>
      <c r="M343" s="266">
        <v>0.51251609159079059</v>
      </c>
      <c r="N343" s="266">
        <v>5.4621419811413045E-2</v>
      </c>
      <c r="O343" s="163">
        <v>1482.1112725039345</v>
      </c>
      <c r="P343" s="264">
        <v>4.1013024602026054</v>
      </c>
      <c r="S343" s="266"/>
    </row>
    <row r="344" spans="2:19" x14ac:dyDescent="0.2">
      <c r="B344" t="s">
        <v>340</v>
      </c>
      <c r="C344" s="266">
        <v>6.7171793430534574E-3</v>
      </c>
      <c r="D344" s="266">
        <v>0</v>
      </c>
      <c r="E344" s="266">
        <v>-6.6357308584686775E-2</v>
      </c>
      <c r="F344" s="266">
        <v>4.6130749283472092E-2</v>
      </c>
      <c r="G344" s="266">
        <v>4.3401119148355396E-3</v>
      </c>
      <c r="H344" s="266">
        <v>-6.3729493653609942E-2</v>
      </c>
      <c r="I344" s="266">
        <v>0.28262893797527289</v>
      </c>
      <c r="J344" s="266">
        <v>0.71737106202472711</v>
      </c>
      <c r="K344" s="266">
        <v>-3.6031117783540331E-3</v>
      </c>
      <c r="L344" s="266">
        <v>-2.2239661525863246E-2</v>
      </c>
      <c r="M344" s="266">
        <v>0.54241851008290931</v>
      </c>
      <c r="N344" s="266">
        <v>4.7820193542998879E-2</v>
      </c>
      <c r="O344" s="163">
        <v>1326.7933468278295</v>
      </c>
      <c r="P344" s="264">
        <v>3.3732292570106965</v>
      </c>
      <c r="S344" s="266"/>
    </row>
    <row r="345" spans="2:19" x14ac:dyDescent="0.2">
      <c r="B345" t="s">
        <v>510</v>
      </c>
      <c r="C345" s="266">
        <v>6.7839048105301614E-2</v>
      </c>
      <c r="D345" s="266">
        <v>7.6708866506746173E-2</v>
      </c>
      <c r="E345" s="266">
        <v>0.85585210633451636</v>
      </c>
      <c r="F345" s="266">
        <v>0.20742495213736009</v>
      </c>
      <c r="G345" s="266">
        <v>0.31894301129785319</v>
      </c>
      <c r="H345" s="266">
        <v>0.6670512830214379</v>
      </c>
      <c r="I345" s="266">
        <v>0.57086605890603082</v>
      </c>
      <c r="J345" s="266">
        <v>0.42913394109396913</v>
      </c>
      <c r="K345" s="266">
        <v>-2.7938160712529039E-2</v>
      </c>
      <c r="L345" s="266">
        <v>5.3239146720747033E-2</v>
      </c>
      <c r="M345" s="266">
        <v>0.6587598907430523</v>
      </c>
      <c r="N345" s="266">
        <v>7.3685912129439497E-3</v>
      </c>
      <c r="O345" s="163">
        <v>1712.908016782314</v>
      </c>
      <c r="P345" s="264">
        <v>0.70338127681049711</v>
      </c>
      <c r="S345" s="266"/>
    </row>
    <row r="346" spans="2:19" x14ac:dyDescent="0.2">
      <c r="B346" t="s">
        <v>341</v>
      </c>
      <c r="C346" s="266">
        <v>1.0838436284896039E-2</v>
      </c>
      <c r="D346" s="266">
        <v>0.19791736647631844</v>
      </c>
      <c r="E346" s="266">
        <v>0.9233680438920614</v>
      </c>
      <c r="F346" s="266">
        <v>4.304109282275221E-2</v>
      </c>
      <c r="G346" s="266">
        <v>0.19222931362669354</v>
      </c>
      <c r="H346" s="266">
        <v>0.79973933490090698</v>
      </c>
      <c r="I346" s="266">
        <v>0.80703388843600787</v>
      </c>
      <c r="J346" s="266">
        <v>0.19296611156399207</v>
      </c>
      <c r="K346" s="266">
        <v>-1.7467248908296944E-3</v>
      </c>
      <c r="L346" s="266">
        <v>-1.5955660060463554E-2</v>
      </c>
      <c r="M346" s="266">
        <v>0.6587252283205226</v>
      </c>
      <c r="N346" s="266">
        <v>1.5073802550070011E-2</v>
      </c>
      <c r="O346" s="163">
        <v>1550.8083085055262</v>
      </c>
      <c r="P346" s="264">
        <v>0.55881550218340614</v>
      </c>
      <c r="S346" s="266"/>
    </row>
    <row r="347" spans="2:19" x14ac:dyDescent="0.2">
      <c r="B347" t="s">
        <v>475</v>
      </c>
      <c r="C347" s="266">
        <v>9.7889866847212827E-3</v>
      </c>
      <c r="D347" s="266">
        <v>0</v>
      </c>
      <c r="E347" s="266">
        <v>0.32212012392620759</v>
      </c>
      <c r="F347" s="266">
        <v>0.29157865089424023</v>
      </c>
      <c r="G347" s="266">
        <v>0.15260174623292494</v>
      </c>
      <c r="H347" s="266">
        <v>0.2548663920574567</v>
      </c>
      <c r="I347" s="266">
        <v>0.44561562013752948</v>
      </c>
      <c r="J347" s="266">
        <v>0.55438437986247047</v>
      </c>
      <c r="K347" s="266">
        <v>4.3268553724827491E-2</v>
      </c>
      <c r="L347" s="266">
        <v>7.2925468243909303E-2</v>
      </c>
      <c r="M347" s="266">
        <v>0.58268111456797422</v>
      </c>
      <c r="N347" s="266">
        <v>3.134243882306928E-2</v>
      </c>
      <c r="O347" s="163">
        <v>1183.0241484130534</v>
      </c>
      <c r="P347" s="264">
        <v>1.2053390688259109</v>
      </c>
      <c r="S347" s="266"/>
    </row>
    <row r="348" spans="2:19" x14ac:dyDescent="0.2">
      <c r="B348" t="s">
        <v>269</v>
      </c>
      <c r="C348" s="266">
        <v>-2.686875987935208E-2</v>
      </c>
      <c r="D348" s="266">
        <v>6.0077614579751436E-2</v>
      </c>
      <c r="E348" s="266">
        <v>0.30643022056295133</v>
      </c>
      <c r="F348" s="266">
        <v>0.34685857444613649</v>
      </c>
      <c r="G348" s="266">
        <v>0.20297686299552981</v>
      </c>
      <c r="H348" s="266">
        <v>0.21205875128948271</v>
      </c>
      <c r="I348" s="266">
        <v>0.58883159591960532</v>
      </c>
      <c r="J348" s="266">
        <v>0.41116840408039462</v>
      </c>
      <c r="K348" s="266">
        <v>5.5091614677997738E-2</v>
      </c>
      <c r="L348" s="266">
        <v>-3.4097607702510191E-2</v>
      </c>
      <c r="M348" s="266">
        <v>0.61234038642446598</v>
      </c>
      <c r="N348" s="266">
        <v>9.6535859824876669E-3</v>
      </c>
      <c r="O348" s="163">
        <v>1428.8730952380952</v>
      </c>
      <c r="P348" s="264">
        <v>1.0196253345227475</v>
      </c>
      <c r="S348" s="266"/>
    </row>
    <row r="349" spans="2:19" x14ac:dyDescent="0.2">
      <c r="B349" t="s">
        <v>153</v>
      </c>
      <c r="C349" s="266">
        <v>-1.0317378090896532E-2</v>
      </c>
      <c r="D349" s="266">
        <v>0</v>
      </c>
      <c r="E349" s="266">
        <v>4.8694095208438752E-2</v>
      </c>
      <c r="F349" s="266">
        <v>1.8216496049200108E-2</v>
      </c>
      <c r="G349" s="266">
        <v>-8.9720135455996271E-3</v>
      </c>
      <c r="H349" s="266">
        <v>5.6891323809894513E-2</v>
      </c>
      <c r="I349" s="266">
        <v>0.22996866351014433</v>
      </c>
      <c r="J349" s="266">
        <v>0.77003133648985567</v>
      </c>
      <c r="K349" s="266">
        <v>4.982289517729944E-3</v>
      </c>
      <c r="L349" s="266">
        <v>8.4270756295979129E-3</v>
      </c>
      <c r="M349" s="266">
        <v>0.62931400875614885</v>
      </c>
      <c r="N349" s="266">
        <v>3.0243791774732982E-2</v>
      </c>
      <c r="O349" s="163">
        <v>1568.3237730511316</v>
      </c>
      <c r="P349" s="264">
        <v>1.446351931330472</v>
      </c>
      <c r="S349" s="266"/>
    </row>
    <row r="350" spans="2:19" x14ac:dyDescent="0.2">
      <c r="B350" t="s">
        <v>270</v>
      </c>
      <c r="C350" s="266">
        <v>2.8548832967596683E-2</v>
      </c>
      <c r="D350" s="266">
        <v>4.8657481756966166E-2</v>
      </c>
      <c r="E350" s="266">
        <v>0.50959344096018933</v>
      </c>
      <c r="F350" s="266">
        <v>3.8542811258558025E-2</v>
      </c>
      <c r="G350" s="266">
        <v>2.4427351872200152E-2</v>
      </c>
      <c r="H350" s="266">
        <v>0.49785225255684223</v>
      </c>
      <c r="I350" s="266">
        <v>0.69428807947019866</v>
      </c>
      <c r="J350" s="266">
        <v>0.30571192052980134</v>
      </c>
      <c r="K350" s="266">
        <v>-3.2710675344434115E-2</v>
      </c>
      <c r="L350" s="266">
        <v>2.585016763868932E-2</v>
      </c>
      <c r="M350" s="266">
        <v>0.7690252626157803</v>
      </c>
      <c r="N350" s="266">
        <v>-1.9179937585976476E-3</v>
      </c>
      <c r="O350" s="163">
        <v>1398.591923923924</v>
      </c>
      <c r="P350" s="264">
        <v>0.91281394976803709</v>
      </c>
      <c r="S350" s="266"/>
    </row>
    <row r="351" spans="2:19" x14ac:dyDescent="0.2">
      <c r="B351" t="s">
        <v>821</v>
      </c>
      <c r="C351" s="266">
        <v>-1.1427626864697921E-2</v>
      </c>
      <c r="D351" s="266">
        <v>2.0157103678402899E-2</v>
      </c>
      <c r="E351" s="266">
        <v>0.37932590062512084</v>
      </c>
      <c r="F351" s="266">
        <v>2.585694542902766E-2</v>
      </c>
      <c r="G351" s="266">
        <v>5.636112364217024E-2</v>
      </c>
      <c r="H351" s="266">
        <v>0.34466678123635008</v>
      </c>
      <c r="I351" s="266">
        <v>0.7042731544253712</v>
      </c>
      <c r="J351" s="266">
        <v>0.29572684557462886</v>
      </c>
      <c r="K351" s="266">
        <v>-2.057957938604971E-2</v>
      </c>
      <c r="L351" s="266">
        <v>3.1640924290921066E-2</v>
      </c>
      <c r="M351" s="266">
        <v>0.65954942084282242</v>
      </c>
      <c r="N351" s="266">
        <v>-1.5827305858213094E-2</v>
      </c>
      <c r="O351" s="163">
        <v>2681.7293941341436</v>
      </c>
      <c r="P351" s="264">
        <v>1.1034585189900277</v>
      </c>
      <c r="S351" s="266"/>
    </row>
    <row r="352" spans="2:19" x14ac:dyDescent="0.2">
      <c r="B352" t="s">
        <v>396</v>
      </c>
      <c r="C352" s="266">
        <v>9.3423942630798396E-2</v>
      </c>
      <c r="D352" s="266">
        <v>1.6745484146057834E-2</v>
      </c>
      <c r="E352" s="266">
        <v>1.1680750445770991</v>
      </c>
      <c r="F352" s="266">
        <v>9.326304364679433E-2</v>
      </c>
      <c r="G352" s="266">
        <v>0.80405642371686248</v>
      </c>
      <c r="H352" s="266">
        <v>0.64054880592441654</v>
      </c>
      <c r="I352" s="266">
        <v>0.54867219720040106</v>
      </c>
      <c r="J352" s="266">
        <v>0.45132780279959894</v>
      </c>
      <c r="K352" s="266">
        <v>9.0560730067668585E-2</v>
      </c>
      <c r="L352" s="266">
        <v>4.7731644018177859E-2</v>
      </c>
      <c r="M352" s="266">
        <v>0.48440667800328535</v>
      </c>
      <c r="N352" s="266">
        <v>-7.7400495246164004E-3</v>
      </c>
      <c r="O352" s="163">
        <v>1393.5378062402967</v>
      </c>
      <c r="P352" s="264">
        <v>0.89569625957638577</v>
      </c>
      <c r="S352" s="266"/>
    </row>
    <row r="353" spans="2:19" x14ac:dyDescent="0.2">
      <c r="B353" t="s">
        <v>198</v>
      </c>
      <c r="C353" s="266">
        <v>-2.1264858185241851E-2</v>
      </c>
      <c r="D353" s="266">
        <v>0</v>
      </c>
      <c r="E353" s="266">
        <v>0.83027833352948099</v>
      </c>
      <c r="F353" s="266">
        <v>6.3066376368129923E-2</v>
      </c>
      <c r="G353" s="266">
        <v>0.2086471695892668</v>
      </c>
      <c r="H353" s="266">
        <v>0.69805269506884782</v>
      </c>
      <c r="I353" s="266">
        <v>0.68702632962201937</v>
      </c>
      <c r="J353" s="266">
        <v>0.31297367037798057</v>
      </c>
      <c r="K353" s="266">
        <v>3.8528304107331997E-2</v>
      </c>
      <c r="L353" s="266">
        <v>1.713472402024244E-2</v>
      </c>
      <c r="M353" s="266">
        <v>0.70819826000623887</v>
      </c>
      <c r="N353" s="266">
        <v>-5.9043164038833328E-3</v>
      </c>
      <c r="O353" s="163">
        <v>1753.074760064035</v>
      </c>
      <c r="P353" s="264">
        <v>1.6859516616314199</v>
      </c>
      <c r="S353" s="266"/>
    </row>
    <row r="354" spans="2:19" x14ac:dyDescent="0.2">
      <c r="B354" t="s">
        <v>397</v>
      </c>
      <c r="C354" s="266">
        <v>-3.3993461884682806E-3</v>
      </c>
      <c r="D354" s="266">
        <v>0</v>
      </c>
      <c r="E354" s="266">
        <v>1.0780876127369776</v>
      </c>
      <c r="F354" s="266">
        <v>5.2572243695932268E-2</v>
      </c>
      <c r="G354" s="266">
        <v>0.12769188293760353</v>
      </c>
      <c r="H354" s="266">
        <v>0.99884272041229516</v>
      </c>
      <c r="I354" s="266">
        <v>0.59681804450709897</v>
      </c>
      <c r="J354" s="266">
        <v>0.40318195549290103</v>
      </c>
      <c r="K354" s="266">
        <v>2.1627093686729247E-3</v>
      </c>
      <c r="L354" s="266">
        <v>7.5637309037364254E-3</v>
      </c>
      <c r="M354" s="266">
        <v>0.40471974934611116</v>
      </c>
      <c r="N354" s="266">
        <v>5.040729129380947E-2</v>
      </c>
      <c r="O354" s="163">
        <v>1670.7697278720718</v>
      </c>
      <c r="P354" s="264">
        <v>1.5178357314148681</v>
      </c>
      <c r="S354" s="266"/>
    </row>
    <row r="355" spans="2:19" x14ac:dyDescent="0.2">
      <c r="B355" t="s">
        <v>220</v>
      </c>
      <c r="C355" s="266">
        <v>7.3202129516495027E-3</v>
      </c>
      <c r="D355" s="266">
        <v>0</v>
      </c>
      <c r="E355" s="266">
        <v>0.49414546273361853</v>
      </c>
      <c r="F355" s="266">
        <v>0.16998799069278692</v>
      </c>
      <c r="G355" s="266">
        <v>0.27086617128274415</v>
      </c>
      <c r="H355" s="266">
        <v>0.33306368685731436</v>
      </c>
      <c r="I355" s="266">
        <v>0.6789967651623946</v>
      </c>
      <c r="J355" s="266">
        <v>0.32100323483760534</v>
      </c>
      <c r="K355" s="266">
        <v>-1.7469789086542072E-2</v>
      </c>
      <c r="L355" s="266">
        <v>1.8938114538767543E-2</v>
      </c>
      <c r="M355" s="266">
        <v>0.55664868360228947</v>
      </c>
      <c r="N355" s="266">
        <v>4.0592547373703311E-2</v>
      </c>
      <c r="O355" s="163">
        <v>1219.3311342334532</v>
      </c>
      <c r="P355" s="264">
        <v>1.9728655375043207</v>
      </c>
      <c r="S355" s="266"/>
    </row>
    <row r="356" spans="2:19" x14ac:dyDescent="0.2">
      <c r="B356" t="s">
        <v>271</v>
      </c>
      <c r="C356" s="266">
        <v>-2.8289090697403655E-2</v>
      </c>
      <c r="D356" s="266">
        <v>8.2332833083208266E-4</v>
      </c>
      <c r="E356" s="266">
        <v>-7.7580456895114225E-2</v>
      </c>
      <c r="F356" s="266">
        <v>0.226331915957979</v>
      </c>
      <c r="G356" s="266">
        <v>-3.1359429714857431E-2</v>
      </c>
      <c r="H356" s="266">
        <v>-2.9409809071202265E-2</v>
      </c>
      <c r="I356" s="266">
        <v>0.32216363327096442</v>
      </c>
      <c r="J356" s="266">
        <v>0.67783636672903558</v>
      </c>
      <c r="K356" s="266">
        <v>3.0994663998665999E-2</v>
      </c>
      <c r="L356" s="266">
        <v>-1.825912956478239E-2</v>
      </c>
      <c r="M356" s="266">
        <v>0.6588589426253646</v>
      </c>
      <c r="N356" s="266">
        <v>1.0761649376925345E-2</v>
      </c>
      <c r="O356" s="163">
        <v>1383.7450354714028</v>
      </c>
      <c r="P356" s="264">
        <v>1.8560591871136918</v>
      </c>
      <c r="S356" s="266"/>
    </row>
    <row r="357" spans="2:19" x14ac:dyDescent="0.2">
      <c r="B357" t="s">
        <v>342</v>
      </c>
      <c r="C357" s="266">
        <v>-2.1966690150234249E-2</v>
      </c>
      <c r="D357" s="266">
        <v>3.1034383624655014E-2</v>
      </c>
      <c r="E357" s="266">
        <v>0.3060027598896044</v>
      </c>
      <c r="F357" s="266">
        <v>2.0871665133394664E-2</v>
      </c>
      <c r="G357" s="266">
        <v>0.14119997700091996</v>
      </c>
      <c r="H357" s="266">
        <v>0.21390337511499541</v>
      </c>
      <c r="I357" s="266">
        <v>0.53033615517383081</v>
      </c>
      <c r="J357" s="266">
        <v>0.46966384482616913</v>
      </c>
      <c r="K357" s="266">
        <v>3.4671113155473783E-2</v>
      </c>
      <c r="L357" s="266">
        <v>-2.6952046918123276E-3</v>
      </c>
      <c r="M357" s="266">
        <v>0.36918418556816635</v>
      </c>
      <c r="N357" s="266">
        <v>2.5736434222884515E-2</v>
      </c>
      <c r="O357" s="163">
        <v>1380.6625177032677</v>
      </c>
      <c r="P357" s="264">
        <v>0.94954631568451486</v>
      </c>
      <c r="S357" s="266"/>
    </row>
    <row r="358" spans="2:19" x14ac:dyDescent="0.2">
      <c r="B358" t="s">
        <v>297</v>
      </c>
      <c r="C358" s="266">
        <v>-3.7608867775138557E-4</v>
      </c>
      <c r="D358" s="266">
        <v>0.11207381794789321</v>
      </c>
      <c r="E358" s="266">
        <v>0.63378497909295595</v>
      </c>
      <c r="F358" s="266">
        <v>6.4530395625603088E-2</v>
      </c>
      <c r="G358" s="266">
        <v>0.15841106465101318</v>
      </c>
      <c r="H358" s="266">
        <v>0.53539321325184952</v>
      </c>
      <c r="I358" s="266">
        <v>0.58196575889293001</v>
      </c>
      <c r="J358" s="266">
        <v>0.41803424110706999</v>
      </c>
      <c r="K358" s="266">
        <v>3.9180604696043744E-2</v>
      </c>
      <c r="L358" s="266">
        <v>3.2124477323898358E-2</v>
      </c>
      <c r="M358" s="266">
        <v>0.60718389319377963</v>
      </c>
      <c r="N358" s="266">
        <v>6.1191839244882813E-3</v>
      </c>
      <c r="O358" s="163">
        <v>1290.0025663716815</v>
      </c>
      <c r="P358" s="264">
        <v>0.36837887651254109</v>
      </c>
      <c r="S358" s="266"/>
    </row>
    <row r="359" spans="2:19" x14ac:dyDescent="0.2">
      <c r="B359" t="s">
        <v>177</v>
      </c>
      <c r="C359" s="266">
        <v>-1.6981576551408209E-2</v>
      </c>
      <c r="D359" s="266">
        <v>0.11669292257424588</v>
      </c>
      <c r="E359" s="266">
        <v>-3.8683703833362504E-2</v>
      </c>
      <c r="F359" s="266">
        <v>5.7150358830736915E-2</v>
      </c>
      <c r="G359" s="266">
        <v>3.1798821401481998E-2</v>
      </c>
      <c r="H359" s="266">
        <v>-5.3130871112667011E-2</v>
      </c>
      <c r="I359" s="266">
        <v>0.30608814741035856</v>
      </c>
      <c r="J359" s="266">
        <v>0.69391185258964139</v>
      </c>
      <c r="K359" s="266">
        <v>2.9844214948363382E-2</v>
      </c>
      <c r="L359" s="266">
        <v>-1.1107707567536028E-2</v>
      </c>
      <c r="M359" s="266">
        <v>0.69302449003675715</v>
      </c>
      <c r="N359" s="266">
        <v>-1.9295000464788426E-2</v>
      </c>
      <c r="O359" s="163">
        <v>1556.6281097381584</v>
      </c>
      <c r="P359" s="264">
        <v>1.2813736574335783</v>
      </c>
      <c r="S359" s="266"/>
    </row>
    <row r="360" spans="2:19" x14ac:dyDescent="0.2">
      <c r="B360" t="s">
        <v>272</v>
      </c>
      <c r="C360" s="266">
        <v>1.765299052238252E-2</v>
      </c>
      <c r="D360" s="266">
        <v>0</v>
      </c>
      <c r="E360" s="266">
        <v>0.87431660794557164</v>
      </c>
      <c r="F360" s="266">
        <v>0.11071558741343701</v>
      </c>
      <c r="G360" s="266">
        <v>7.8799659822621798E-2</v>
      </c>
      <c r="H360" s="266">
        <v>0.83480670635402754</v>
      </c>
      <c r="I360" s="266">
        <v>0.59375277309432961</v>
      </c>
      <c r="J360" s="266">
        <v>0.40624722690567044</v>
      </c>
      <c r="K360" s="266">
        <v>4.797715951889199E-2</v>
      </c>
      <c r="L360" s="266">
        <v>-1.4579030494472117E-3</v>
      </c>
      <c r="M360" s="266">
        <v>0.68338383063563612</v>
      </c>
      <c r="N360" s="266">
        <v>1.3438903289212131E-3</v>
      </c>
      <c r="O360" s="163">
        <v>1710.0644499031275</v>
      </c>
      <c r="P360" s="264">
        <v>0.99239965165070065</v>
      </c>
      <c r="S360" s="266"/>
    </row>
    <row r="361" spans="2:19" x14ac:dyDescent="0.2">
      <c r="B361" t="s">
        <v>476</v>
      </c>
      <c r="C361" s="266">
        <v>-3.4643338967374308E-2</v>
      </c>
      <c r="D361" s="266">
        <v>7.7196232823838196E-2</v>
      </c>
      <c r="E361" s="266">
        <v>8.6680341427909743E-2</v>
      </c>
      <c r="F361" s="266">
        <v>3.5047089702022541E-2</v>
      </c>
      <c r="G361" s="266">
        <v>5.117007432894418E-3</v>
      </c>
      <c r="H361" s="266">
        <v>8.7457597212113186E-2</v>
      </c>
      <c r="I361" s="266">
        <v>0.3023800309597523</v>
      </c>
      <c r="J361" s="266">
        <v>0.6976199690402477</v>
      </c>
      <c r="K361" s="266">
        <v>-2.1791393722843468E-2</v>
      </c>
      <c r="L361" s="266">
        <v>-7.4549504841306596E-2</v>
      </c>
      <c r="M361" s="266">
        <v>0.67366016367342174</v>
      </c>
      <c r="N361" s="266">
        <v>2.3935343790010066E-2</v>
      </c>
      <c r="O361" s="163">
        <v>1295.9565190308249</v>
      </c>
      <c r="P361" s="264">
        <v>0.90150679897096653</v>
      </c>
      <c r="S361" s="266"/>
    </row>
    <row r="362" spans="2:19" x14ac:dyDescent="0.2">
      <c r="B362" t="s">
        <v>298</v>
      </c>
      <c r="C362" s="266">
        <v>5.8875566750253537E-2</v>
      </c>
      <c r="D362" s="266">
        <v>0.11950001195000119</v>
      </c>
      <c r="E362" s="266">
        <v>0.81151661448499479</v>
      </c>
      <c r="F362" s="266">
        <v>1.5431434876476821E-2</v>
      </c>
      <c r="G362" s="266">
        <v>-9.8531743186507648E-2</v>
      </c>
      <c r="H362" s="266">
        <v>0.87938465460513204</v>
      </c>
      <c r="I362" s="266">
        <v>0.60944288331143481</v>
      </c>
      <c r="J362" s="266">
        <v>0.39055711668856513</v>
      </c>
      <c r="K362" s="266">
        <v>-6.5836539916987319E-2</v>
      </c>
      <c r="L362" s="266">
        <v>4.6053312938664624E-2</v>
      </c>
      <c r="M362" s="266">
        <v>0.57752779365325713</v>
      </c>
      <c r="N362" s="266">
        <v>1.3592442243073667E-2</v>
      </c>
      <c r="O362" s="163">
        <v>1445.1795726097589</v>
      </c>
      <c r="P362" s="264">
        <v>0.62817919464897376</v>
      </c>
      <c r="S362" s="266"/>
    </row>
    <row r="363" spans="2:19" x14ac:dyDescent="0.2">
      <c r="B363" t="s">
        <v>343</v>
      </c>
      <c r="C363" s="266">
        <v>2.1948847893100004E-2</v>
      </c>
      <c r="D363" s="266">
        <v>0</v>
      </c>
      <c r="E363" s="266">
        <v>0.15578600047136459</v>
      </c>
      <c r="F363" s="266">
        <v>0.12726844213999527</v>
      </c>
      <c r="G363" s="266">
        <v>1.8530520857883571E-2</v>
      </c>
      <c r="H363" s="266">
        <v>0.15864276455338203</v>
      </c>
      <c r="I363" s="266">
        <v>0.3820886728531448</v>
      </c>
      <c r="J363" s="266">
        <v>0.61791132714685526</v>
      </c>
      <c r="K363" s="266">
        <v>-9.6629743106292718E-3</v>
      </c>
      <c r="L363" s="266">
        <v>7.8953570586848924E-3</v>
      </c>
      <c r="M363" s="266">
        <v>0.62999796646315098</v>
      </c>
      <c r="N363" s="266">
        <v>1.2256415752069027E-2</v>
      </c>
      <c r="O363" s="163">
        <v>1759.669762085548</v>
      </c>
      <c r="P363" s="264">
        <v>1.2858376511226253</v>
      </c>
      <c r="S363" s="266"/>
    </row>
    <row r="364" spans="2:19" x14ac:dyDescent="0.2">
      <c r="B364" t="s">
        <v>299</v>
      </c>
      <c r="C364" s="266">
        <v>2.8252365749129923E-2</v>
      </c>
      <c r="D364" s="266">
        <v>0.11630784459292254</v>
      </c>
      <c r="E364" s="266">
        <v>0.43846724915767232</v>
      </c>
      <c r="F364" s="266">
        <v>3.2113147926065518E-2</v>
      </c>
      <c r="G364" s="266">
        <v>0.30188643328955134</v>
      </c>
      <c r="H364" s="266">
        <v>0.2400569166048008</v>
      </c>
      <c r="I364" s="266">
        <v>0.63778717312037225</v>
      </c>
      <c r="J364" s="266">
        <v>0.36221282687962775</v>
      </c>
      <c r="K364" s="266">
        <v>0.12955665962347476</v>
      </c>
      <c r="L364" s="266">
        <v>-4.4876553785239753E-3</v>
      </c>
      <c r="M364" s="266">
        <v>0.27751225567099852</v>
      </c>
      <c r="N364" s="266">
        <v>1.7567542451275241E-2</v>
      </c>
      <c r="O364" s="163">
        <v>2524.0032674592553</v>
      </c>
      <c r="P364" s="264">
        <v>0.32278016563581086</v>
      </c>
      <c r="S364" s="266"/>
    </row>
    <row r="365" spans="2:19" x14ac:dyDescent="0.2">
      <c r="B365" t="s">
        <v>477</v>
      </c>
      <c r="C365" s="266">
        <v>3.125907521538511E-2</v>
      </c>
      <c r="D365" s="266">
        <v>2.0719532868713505E-3</v>
      </c>
      <c r="E365" s="266">
        <v>0.76662271614239974</v>
      </c>
      <c r="F365" s="266">
        <v>4.8910654862811577E-2</v>
      </c>
      <c r="G365" s="266">
        <v>0.11794437119357067</v>
      </c>
      <c r="H365" s="266">
        <v>0.6934692660262447</v>
      </c>
      <c r="I365" s="266">
        <v>0.66201971434319051</v>
      </c>
      <c r="J365" s="266">
        <v>0.33798028565680949</v>
      </c>
      <c r="K365" s="266">
        <v>2.2854272618823383E-2</v>
      </c>
      <c r="L365" s="266">
        <v>3.8511646888930745E-2</v>
      </c>
      <c r="M365" s="266">
        <v>0.57676138905282148</v>
      </c>
      <c r="N365" s="266">
        <v>2.1877098628924278E-2</v>
      </c>
      <c r="O365" s="163">
        <v>1270.0839182774989</v>
      </c>
      <c r="P365" s="264">
        <v>1.8177288224495147</v>
      </c>
      <c r="S365" s="266"/>
    </row>
    <row r="366" spans="2:19" x14ac:dyDescent="0.2">
      <c r="B366" t="s">
        <v>344</v>
      </c>
      <c r="C366" s="266">
        <v>6.6529048945483489E-3</v>
      </c>
      <c r="D366" s="266">
        <v>0.31450216203265297</v>
      </c>
      <c r="E366" s="266">
        <v>1.1324898173396161</v>
      </c>
      <c r="F366" s="266">
        <v>0.13596960604228228</v>
      </c>
      <c r="G366" s="266">
        <v>4.0299375919862178E-2</v>
      </c>
      <c r="H366" s="266">
        <v>1.1218055881983822</v>
      </c>
      <c r="I366" s="266">
        <v>0.81060531589591545</v>
      </c>
      <c r="J366" s="266">
        <v>0.1893946841040845</v>
      </c>
      <c r="K366" s="266">
        <v>4.3080925053337743E-3</v>
      </c>
      <c r="L366" s="266">
        <v>1.4724640326757864E-2</v>
      </c>
      <c r="M366" s="266">
        <v>0.69068265804186346</v>
      </c>
      <c r="N366" s="266">
        <v>-1.457763279006068E-2</v>
      </c>
      <c r="O366" s="163">
        <v>1507.6337505040649</v>
      </c>
      <c r="P366" s="264">
        <v>0.26818791716143747</v>
      </c>
      <c r="S366" s="266"/>
    </row>
    <row r="367" spans="2:19" x14ac:dyDescent="0.2">
      <c r="B367" t="s">
        <v>273</v>
      </c>
      <c r="C367" s="266">
        <v>-1.1096704910404933E-2</v>
      </c>
      <c r="D367" s="266">
        <v>6.0839833055498095E-2</v>
      </c>
      <c r="E367" s="266">
        <v>0.74275701787474291</v>
      </c>
      <c r="F367" s="266">
        <v>1.6670114257206478E-2</v>
      </c>
      <c r="G367" s="266">
        <v>0.47950306024360267</v>
      </c>
      <c r="H367" s="266">
        <v>0.42349038122239391</v>
      </c>
      <c r="I367" s="266">
        <v>0.72862657514993401</v>
      </c>
      <c r="J367" s="266">
        <v>0.27137342485006594</v>
      </c>
      <c r="K367" s="266">
        <v>8.2827348721755109E-2</v>
      </c>
      <c r="L367" s="266">
        <v>-1.280678485818235E-2</v>
      </c>
      <c r="M367" s="266">
        <v>0.46811857244217031</v>
      </c>
      <c r="N367" s="266">
        <v>-7.0173213556652264E-3</v>
      </c>
      <c r="O367" s="163">
        <v>1643.0464493093375</v>
      </c>
      <c r="P367" s="264">
        <v>0.77349257209437805</v>
      </c>
      <c r="S367" s="266"/>
    </row>
    <row r="368" spans="2:19" x14ac:dyDescent="0.2">
      <c r="B368" t="s">
        <v>345</v>
      </c>
      <c r="C368" s="266">
        <v>3.1666243240300513E-3</v>
      </c>
      <c r="D368" s="266">
        <v>1.0837011349306431E-3</v>
      </c>
      <c r="E368" s="266">
        <v>0.67945156841109711</v>
      </c>
      <c r="F368" s="266">
        <v>2.1674022698612863E-2</v>
      </c>
      <c r="G368" s="266">
        <v>9.8109985813366968E-2</v>
      </c>
      <c r="H368" s="266">
        <v>0.61631876063997471</v>
      </c>
      <c r="I368" s="266">
        <v>0.60502603489281859</v>
      </c>
      <c r="J368" s="266">
        <v>0.39497396510718147</v>
      </c>
      <c r="K368" s="266">
        <v>6.3268442622950824E-2</v>
      </c>
      <c r="L368" s="266">
        <v>-2.4974917244640606E-2</v>
      </c>
      <c r="M368" s="266">
        <v>0.53079679896028986</v>
      </c>
      <c r="N368" s="266">
        <v>2.3081492739325585E-2</v>
      </c>
      <c r="O368" s="163">
        <v>2111.6702144548362</v>
      </c>
      <c r="P368" s="264">
        <v>1.0559239403760246</v>
      </c>
      <c r="S368" s="266"/>
    </row>
    <row r="369" spans="2:19" x14ac:dyDescent="0.2">
      <c r="B369" t="s">
        <v>398</v>
      </c>
      <c r="C369" s="266">
        <v>-1.7709385993217863E-4</v>
      </c>
      <c r="D369" s="266">
        <v>1.626604012289897E-3</v>
      </c>
      <c r="E369" s="266">
        <v>0.36309416229893365</v>
      </c>
      <c r="F369" s="266">
        <v>0.30110247605277424</v>
      </c>
      <c r="G369" s="266">
        <v>3.1845291885053313E-2</v>
      </c>
      <c r="H369" s="266">
        <v>0.37789011386228089</v>
      </c>
      <c r="I369" s="266">
        <v>0.52171651495448634</v>
      </c>
      <c r="J369" s="266">
        <v>0.47828348504551366</v>
      </c>
      <c r="K369" s="266">
        <v>4.1351888667992047E-2</v>
      </c>
      <c r="L369" s="266">
        <v>-1.4648472799566239E-2</v>
      </c>
      <c r="M369" s="266">
        <v>0.57411634104315101</v>
      </c>
      <c r="N369" s="266">
        <v>2.09557493398899E-2</v>
      </c>
      <c r="O369" s="163">
        <v>1325.5907262085409</v>
      </c>
      <c r="P369" s="264">
        <v>0.6050819672131148</v>
      </c>
      <c r="S369" s="266"/>
    </row>
    <row r="370" spans="2:19" x14ac:dyDescent="0.2">
      <c r="B370" t="s">
        <v>516</v>
      </c>
      <c r="C370" s="266">
        <v>-1.5709620075240811E-2</v>
      </c>
      <c r="D370" s="266">
        <v>0</v>
      </c>
      <c r="E370" s="266">
        <v>-0.32052194061096317</v>
      </c>
      <c r="F370" s="266">
        <v>4.9125017784191378E-2</v>
      </c>
      <c r="G370" s="266">
        <v>0.79626430357106559</v>
      </c>
      <c r="H370" s="266">
        <v>-0.84812402186947411</v>
      </c>
      <c r="I370" s="266">
        <v>0.11316247446304843</v>
      </c>
      <c r="J370" s="266">
        <v>0.88683752553695161</v>
      </c>
      <c r="K370" s="266">
        <v>-5.5283429198593526E-2</v>
      </c>
      <c r="L370" s="266">
        <v>-7.0984329586797016E-3</v>
      </c>
      <c r="M370" s="266">
        <v>0.61283625076502546</v>
      </c>
      <c r="N370" s="266">
        <v>1.1454418431376316E-2</v>
      </c>
      <c r="O370" s="163">
        <v>1473.5422200454161</v>
      </c>
      <c r="P370" s="264">
        <v>2.3701124266242166</v>
      </c>
      <c r="S370" s="266"/>
    </row>
    <row r="371" spans="2:19" x14ac:dyDescent="0.2">
      <c r="B371" t="s">
        <v>300</v>
      </c>
      <c r="C371" s="266">
        <v>5.1348158004921166E-2</v>
      </c>
      <c r="D371" s="266">
        <v>3.2190665921624838E-4</v>
      </c>
      <c r="E371" s="266">
        <v>-0.17277277034085664</v>
      </c>
      <c r="F371" s="266">
        <v>0.16745219989796167</v>
      </c>
      <c r="G371" s="266">
        <v>-1.386020747795243E-2</v>
      </c>
      <c r="H371" s="266">
        <v>-0.14339216734287311</v>
      </c>
      <c r="I371" s="266">
        <v>0.30355675749691907</v>
      </c>
      <c r="J371" s="266">
        <v>0.69644324250308087</v>
      </c>
      <c r="K371" s="266">
        <v>3.5476543329851069E-2</v>
      </c>
      <c r="L371" s="266">
        <v>4.9168205340006314E-2</v>
      </c>
      <c r="M371" s="266">
        <v>0.65588582811615692</v>
      </c>
      <c r="N371" s="266">
        <v>4.6203697073797186E-2</v>
      </c>
      <c r="O371" s="163">
        <v>1440.9339139846561</v>
      </c>
      <c r="P371" s="264">
        <v>2.2717955206883462</v>
      </c>
      <c r="S371" s="266"/>
    </row>
    <row r="372" spans="2:19" x14ac:dyDescent="0.2">
      <c r="B372" t="s">
        <v>274</v>
      </c>
      <c r="C372" s="266">
        <v>5.9341726355089816E-2</v>
      </c>
      <c r="D372" s="266">
        <v>8.7303854551390614E-2</v>
      </c>
      <c r="E372" s="266">
        <v>1.0395147631970942</v>
      </c>
      <c r="F372" s="266">
        <v>0.11608545717958658</v>
      </c>
      <c r="G372" s="266">
        <v>0.46516824127165507</v>
      </c>
      <c r="H372" s="266">
        <v>0.74178229640663562</v>
      </c>
      <c r="I372" s="266">
        <v>0.73982011161468464</v>
      </c>
      <c r="J372" s="266">
        <v>0.26017988838531531</v>
      </c>
      <c r="K372" s="266">
        <v>2.3486440712551269E-2</v>
      </c>
      <c r="L372" s="266">
        <v>4.6248495112943051E-2</v>
      </c>
      <c r="M372" s="266">
        <v>0.54748849822348011</v>
      </c>
      <c r="N372" s="266">
        <v>-1.3534106014684284E-2</v>
      </c>
      <c r="O372" s="163">
        <v>1691.0163013529375</v>
      </c>
      <c r="P372" s="264">
        <v>0.69758228362454289</v>
      </c>
      <c r="S372" s="266"/>
    </row>
    <row r="373" spans="2:19" x14ac:dyDescent="0.2">
      <c r="B373" t="s">
        <v>399</v>
      </c>
      <c r="C373" s="266">
        <v>7.1388880973413497E-3</v>
      </c>
      <c r="D373" s="266">
        <v>8.4125751172853175E-2</v>
      </c>
      <c r="E373" s="266">
        <v>6.8262438693358837E-2</v>
      </c>
      <c r="F373" s="266">
        <v>3.61572478540923E-2</v>
      </c>
      <c r="G373" s="266">
        <v>7.0048708809929083E-2</v>
      </c>
      <c r="H373" s="266">
        <v>2.5668673533197427E-2</v>
      </c>
      <c r="I373" s="266">
        <v>0.23843594222114564</v>
      </c>
      <c r="J373" s="266">
        <v>0.76156405777885439</v>
      </c>
      <c r="K373" s="266">
        <v>-1.8748825744723214E-2</v>
      </c>
      <c r="L373" s="266">
        <v>2.2050761478257699E-2</v>
      </c>
      <c r="M373" s="266">
        <v>0.64206699686969715</v>
      </c>
      <c r="N373" s="266">
        <v>-2.4696984804214041E-2</v>
      </c>
      <c r="O373" s="163">
        <v>2181.2701134314002</v>
      </c>
      <c r="P373" s="264">
        <v>0.67928491242470701</v>
      </c>
      <c r="S373" s="266"/>
    </row>
    <row r="374" spans="2:19" x14ac:dyDescent="0.2">
      <c r="B374" t="s">
        <v>400</v>
      </c>
      <c r="C374" s="266">
        <v>2.9194648075049984E-2</v>
      </c>
      <c r="D374" s="266">
        <v>0.1317439659252248</v>
      </c>
      <c r="E374" s="266">
        <v>0.35784429720776145</v>
      </c>
      <c r="F374" s="266">
        <v>0.28460719356365355</v>
      </c>
      <c r="G374" s="266">
        <v>0.22172266919072409</v>
      </c>
      <c r="H374" s="266">
        <v>0.24344297207761476</v>
      </c>
      <c r="I374" s="266">
        <v>0.57747091013255891</v>
      </c>
      <c r="J374" s="266">
        <v>0.42252908986744109</v>
      </c>
      <c r="K374" s="266">
        <v>-0.14375295787979175</v>
      </c>
      <c r="L374" s="266">
        <v>1.897479886417416E-2</v>
      </c>
      <c r="M374" s="266">
        <v>0.61755791513211911</v>
      </c>
      <c r="N374" s="266">
        <v>-5.2290609217005644E-2</v>
      </c>
      <c r="O374" s="163">
        <v>1646.0267733843029</v>
      </c>
      <c r="P374" s="264">
        <v>1.9939908094733121</v>
      </c>
      <c r="S374" s="266"/>
    </row>
    <row r="375" spans="2:19" x14ac:dyDescent="0.2">
      <c r="B375" t="s">
        <v>178</v>
      </c>
      <c r="C375" s="266">
        <v>4.7806008309166086E-2</v>
      </c>
      <c r="D375" s="266">
        <v>8.1963036731668909E-2</v>
      </c>
      <c r="E375" s="266">
        <v>0.92354902959840657</v>
      </c>
      <c r="F375" s="266">
        <v>3.9117142989485383E-2</v>
      </c>
      <c r="G375" s="266">
        <v>0.28628005002547596</v>
      </c>
      <c r="H375" s="266">
        <v>0.73643545324007598</v>
      </c>
      <c r="I375" s="266">
        <v>0.66791850004203923</v>
      </c>
      <c r="J375" s="266">
        <v>0.33208149995796082</v>
      </c>
      <c r="K375" s="266">
        <v>3.3975635740423366E-2</v>
      </c>
      <c r="L375" s="266">
        <v>4.6609384408726667E-2</v>
      </c>
      <c r="M375" s="266">
        <v>0.62969870175610199</v>
      </c>
      <c r="N375" s="266">
        <v>-2.8087581485429398E-2</v>
      </c>
      <c r="O375" s="163">
        <v>1397.2755054869322</v>
      </c>
      <c r="P375" s="264">
        <v>0.69453302961275631</v>
      </c>
      <c r="S375" s="266"/>
    </row>
    <row r="376" spans="2:19" x14ac:dyDescent="0.2">
      <c r="B376" t="s">
        <v>401</v>
      </c>
      <c r="C376" s="266">
        <v>-2.9797034691233628E-3</v>
      </c>
      <c r="D376" s="266">
        <v>0.10531895741233423</v>
      </c>
      <c r="E376" s="266">
        <v>1.0658118461323038</v>
      </c>
      <c r="F376" s="266">
        <v>0.13791482466844032</v>
      </c>
      <c r="G376" s="266">
        <v>0.40529295273149168</v>
      </c>
      <c r="H376" s="266">
        <v>0.81081534676241729</v>
      </c>
      <c r="I376" s="266">
        <v>0.67625652535747616</v>
      </c>
      <c r="J376" s="266">
        <v>0.3237434746425239</v>
      </c>
      <c r="K376" s="266">
        <v>5.0829149246864436E-2</v>
      </c>
      <c r="L376" s="266">
        <v>5.944570022604069E-2</v>
      </c>
      <c r="M376" s="266">
        <v>0.52318499640240701</v>
      </c>
      <c r="N376" s="266">
        <v>1.289101824909457E-2</v>
      </c>
      <c r="O376" s="163">
        <v>1209.5702185133377</v>
      </c>
      <c r="P376" s="264">
        <v>0.57595495230491234</v>
      </c>
      <c r="S376" s="266"/>
    </row>
    <row r="377" spans="2:19" x14ac:dyDescent="0.2">
      <c r="B377" t="s">
        <v>478</v>
      </c>
      <c r="C377" s="266">
        <v>1.6750149075730469E-2</v>
      </c>
      <c r="D377" s="266">
        <v>0</v>
      </c>
      <c r="E377" s="266">
        <v>0.25011542774223339</v>
      </c>
      <c r="F377" s="266">
        <v>3.8058175582085615E-2</v>
      </c>
      <c r="G377" s="266">
        <v>0.20412022074181563</v>
      </c>
      <c r="H377" s="266">
        <v>0.11792186091506718</v>
      </c>
      <c r="I377" s="266">
        <v>0.49227342336071278</v>
      </c>
      <c r="J377" s="266">
        <v>0.50772657663928722</v>
      </c>
      <c r="K377" s="266">
        <v>1.4620847349559176E-2</v>
      </c>
      <c r="L377" s="266">
        <v>9.8828133588373685E-3</v>
      </c>
      <c r="M377" s="266">
        <v>0.62941639624351509</v>
      </c>
      <c r="N377" s="266">
        <v>2.4310873281781074E-2</v>
      </c>
      <c r="O377" s="163">
        <v>1299.6443768156039</v>
      </c>
      <c r="P377" s="264">
        <v>1.3428274907749078</v>
      </c>
      <c r="S377" s="266"/>
    </row>
    <row r="378" spans="2:19" x14ac:dyDescent="0.2">
      <c r="B378" t="s">
        <v>275</v>
      </c>
      <c r="C378" s="266">
        <v>1.2511669245623233E-2</v>
      </c>
      <c r="D378" s="266">
        <v>6.3031263506699325E-2</v>
      </c>
      <c r="E378" s="266">
        <v>0.69917278970369301</v>
      </c>
      <c r="F378" s="266">
        <v>0.15659367046054842</v>
      </c>
      <c r="G378" s="266">
        <v>0.21601114152619699</v>
      </c>
      <c r="H378" s="266">
        <v>0.57323656533640688</v>
      </c>
      <c r="I378" s="266">
        <v>0.69337290213622815</v>
      </c>
      <c r="J378" s="266">
        <v>0.30662709786377179</v>
      </c>
      <c r="K378" s="266">
        <v>-3.2001872928972767E-2</v>
      </c>
      <c r="L378" s="266">
        <v>3.2584161744225133E-2</v>
      </c>
      <c r="M378" s="266">
        <v>0.63051293554048493</v>
      </c>
      <c r="N378" s="266">
        <v>1.161855473188284E-3</v>
      </c>
      <c r="O378" s="163">
        <v>1948.9172243121011</v>
      </c>
      <c r="P378" s="264">
        <v>0.48853545164423479</v>
      </c>
      <c r="S378" s="266"/>
    </row>
    <row r="379" spans="2:19" x14ac:dyDescent="0.2">
      <c r="B379" t="s">
        <v>221</v>
      </c>
      <c r="C379" s="266">
        <v>-7.0642112442755533E-4</v>
      </c>
      <c r="D379" s="266">
        <v>0.13940331089685282</v>
      </c>
      <c r="E379" s="266">
        <v>1.1756412588684737</v>
      </c>
      <c r="F379" s="266">
        <v>0.16376205202837912</v>
      </c>
      <c r="G379" s="266">
        <v>0.23527378570129162</v>
      </c>
      <c r="H379" s="266">
        <v>1.0376592686920136</v>
      </c>
      <c r="I379" s="266">
        <v>0.73153332046296549</v>
      </c>
      <c r="J379" s="266">
        <v>0.26846667953703446</v>
      </c>
      <c r="K379" s="266">
        <v>0.12035655812261234</v>
      </c>
      <c r="L379" s="266">
        <v>7.7533199927233037E-2</v>
      </c>
      <c r="M379" s="266">
        <v>0.53369515278391721</v>
      </c>
      <c r="N379" s="266">
        <v>-1.8872984664506742E-3</v>
      </c>
      <c r="O379" s="163">
        <v>1272.3665707369553</v>
      </c>
      <c r="P379" s="264">
        <v>0.3866458617775177</v>
      </c>
      <c r="S379" s="266"/>
    </row>
    <row r="380" spans="2:19" x14ac:dyDescent="0.2">
      <c r="B380" t="s">
        <v>402</v>
      </c>
      <c r="C380" s="266">
        <v>7.6794310046902001E-2</v>
      </c>
      <c r="D380" s="266">
        <v>0.28578234425370408</v>
      </c>
      <c r="E380" s="266">
        <v>0.9453240380492608</v>
      </c>
      <c r="F380" s="266">
        <v>6.0019691604071716E-2</v>
      </c>
      <c r="G380" s="266">
        <v>2.3383779835162218E-2</v>
      </c>
      <c r="H380" s="266">
        <v>0.9368592685521907</v>
      </c>
      <c r="I380" s="266">
        <v>0.75433284904157094</v>
      </c>
      <c r="J380" s="266">
        <v>0.24566715095842903</v>
      </c>
      <c r="K380" s="266">
        <v>3.7715773927680996E-2</v>
      </c>
      <c r="L380" s="266">
        <v>8.0975766622731093E-2</v>
      </c>
      <c r="M380" s="266">
        <v>0.62560740662432135</v>
      </c>
      <c r="N380" s="266">
        <v>-1.1878350610327061E-2</v>
      </c>
      <c r="O380" s="163">
        <v>1577.0664790761543</v>
      </c>
      <c r="P380" s="264">
        <v>0.71155918435013266</v>
      </c>
      <c r="S380" s="266"/>
    </row>
    <row r="381" spans="2:19" x14ac:dyDescent="0.2">
      <c r="B381" t="s">
        <v>222</v>
      </c>
      <c r="C381" s="266">
        <v>1.1606392937539966E-2</v>
      </c>
      <c r="D381" s="266">
        <v>6.6126831262361213E-2</v>
      </c>
      <c r="E381" s="266">
        <v>0.6715079522524201</v>
      </c>
      <c r="F381" s="266">
        <v>6.9383076741189598E-2</v>
      </c>
      <c r="G381" s="266">
        <v>0.12462302696572025</v>
      </c>
      <c r="H381" s="266">
        <v>0.59633649339433037</v>
      </c>
      <c r="I381" s="266">
        <v>0.72147220755713104</v>
      </c>
      <c r="J381" s="266">
        <v>0.27852779244286902</v>
      </c>
      <c r="K381" s="266">
        <v>5.3789167623501874E-2</v>
      </c>
      <c r="L381" s="266">
        <v>3.1594598439807553E-2</v>
      </c>
      <c r="M381" s="266">
        <v>0.61845893256919449</v>
      </c>
      <c r="N381" s="266">
        <v>-1.9695669187595834E-2</v>
      </c>
      <c r="O381" s="163">
        <v>1886.95394399522</v>
      </c>
      <c r="P381" s="264">
        <v>0.44141429184662151</v>
      </c>
      <c r="S381" s="266"/>
    </row>
    <row r="382" spans="2:19" ht="15" x14ac:dyDescent="0.25">
      <c r="B382" t="s">
        <v>527</v>
      </c>
      <c r="C382" s="266">
        <v>2.7472019780753438E-2</v>
      </c>
      <c r="D382" s="266">
        <v>8.2000000000000003E-2</v>
      </c>
      <c r="E382" s="266">
        <v>0.56299999999999994</v>
      </c>
      <c r="F382" s="266">
        <v>0.11654458483729124</v>
      </c>
      <c r="G382" s="266">
        <v>0.12197016137929773</v>
      </c>
      <c r="H382" s="266">
        <v>0.495</v>
      </c>
      <c r="I382" s="266">
        <v>0.59199999999999997</v>
      </c>
      <c r="J382" s="266">
        <v>0.4082900965908341</v>
      </c>
      <c r="K382" s="266">
        <v>9.8639779120826571E-3</v>
      </c>
      <c r="L382" s="266">
        <v>2.4608167501975493E-2</v>
      </c>
      <c r="M382" s="266">
        <v>0.58961527482738629</v>
      </c>
      <c r="N382" s="266">
        <v>6.0000000000000001E-3</v>
      </c>
      <c r="O382" s="272">
        <f>AVERAGE(O2:O381)</f>
        <v>1640.4305101393784</v>
      </c>
      <c r="P382" s="264">
        <v>0.8616035384190569</v>
      </c>
      <c r="S382" s="266"/>
    </row>
    <row r="383" spans="2:19" x14ac:dyDescent="0.2">
      <c r="S383" s="266"/>
    </row>
    <row r="384" spans="2:19" x14ac:dyDescent="0.2">
      <c r="S384" s="266"/>
    </row>
    <row r="385" spans="2:19" x14ac:dyDescent="0.2">
      <c r="S385" s="266"/>
    </row>
    <row r="386" spans="2:19" ht="15" x14ac:dyDescent="0.25">
      <c r="B386" t="s">
        <v>158</v>
      </c>
      <c r="C386" s="266">
        <v>-1.7657664027149321E-2</v>
      </c>
      <c r="D386" s="271">
        <v>0.22937104357161367</v>
      </c>
      <c r="E386" s="271">
        <v>0.35457002184133568</v>
      </c>
      <c r="F386" s="271">
        <v>5.3974012512493987E-2</v>
      </c>
      <c r="G386" s="271">
        <v>3.9980750009254804E-3</v>
      </c>
      <c r="H386" s="271">
        <v>0.3583681930922149</v>
      </c>
      <c r="I386" s="271">
        <v>0.77605711699934632</v>
      </c>
      <c r="J386" s="271">
        <v>0.22394288300065363</v>
      </c>
      <c r="K386" s="271">
        <v>-1.6399511346388777E-2</v>
      </c>
      <c r="L386" s="271">
        <v>-8.3293229185947507E-3</v>
      </c>
      <c r="M386" s="271">
        <v>0.75869269117264393</v>
      </c>
      <c r="N386" s="271">
        <v>-6.593228959503014E-3</v>
      </c>
      <c r="O386" s="272">
        <v>1790.4865538116592</v>
      </c>
      <c r="P386" s="264">
        <v>0.47685636856368563</v>
      </c>
      <c r="S386" s="266"/>
    </row>
    <row r="387" spans="2:19" x14ac:dyDescent="0.2">
      <c r="B387" t="s">
        <v>176</v>
      </c>
      <c r="C387" s="266">
        <v>2.0329029525042407E-2</v>
      </c>
      <c r="D387" s="266">
        <v>1.8420616353823197E-5</v>
      </c>
      <c r="E387" s="266">
        <v>-9.2232026083592752E-2</v>
      </c>
      <c r="F387" s="266">
        <v>5.5427634608654006E-2</v>
      </c>
      <c r="G387" s="266">
        <v>7.7366588686057433E-4</v>
      </c>
      <c r="H387" s="266">
        <v>-8.609906607475086E-2</v>
      </c>
      <c r="I387" s="266">
        <v>0.13590168253848758</v>
      </c>
      <c r="J387" s="266">
        <v>0.86409831746151244</v>
      </c>
      <c r="K387" s="266">
        <v>-1.8660084366422899E-2</v>
      </c>
      <c r="L387" s="266">
        <v>2.9242728461694328E-2</v>
      </c>
      <c r="M387" s="266">
        <v>0.66397457209763733</v>
      </c>
      <c r="N387" s="266">
        <v>8.6608020203489346E-4</v>
      </c>
      <c r="O387" s="163">
        <v>2058.6884482650435</v>
      </c>
      <c r="P387" s="264">
        <v>1.366790214974055</v>
      </c>
      <c r="S387" s="266"/>
    </row>
    <row r="388" spans="2:19" x14ac:dyDescent="0.2">
      <c r="B388" t="s">
        <v>821</v>
      </c>
      <c r="G388" s="266"/>
      <c r="L388" s="266"/>
      <c r="M388" s="266"/>
      <c r="N388" s="266"/>
      <c r="O388" s="163"/>
      <c r="S388" s="266"/>
    </row>
    <row r="389" spans="2:19" x14ac:dyDescent="0.2">
      <c r="S389" s="266"/>
    </row>
    <row r="390" spans="2:19" x14ac:dyDescent="0.2">
      <c r="B390" t="s">
        <v>184</v>
      </c>
      <c r="C390" s="266">
        <v>-1.9708658056561121E-2</v>
      </c>
      <c r="D390" s="266">
        <v>0</v>
      </c>
      <c r="E390" s="266">
        <v>0.15962662504969008</v>
      </c>
      <c r="F390" s="266">
        <v>3.3126720749105578E-3</v>
      </c>
      <c r="G390" s="266">
        <v>0.18135775386110334</v>
      </c>
      <c r="H390" s="266">
        <v>3.8514450611740095E-2</v>
      </c>
      <c r="I390" s="266">
        <v>0.3274816634316437</v>
      </c>
      <c r="J390" s="266">
        <v>0.67251833656835636</v>
      </c>
      <c r="K390" s="266">
        <v>2.1421946084421606E-2</v>
      </c>
      <c r="L390" s="266">
        <v>-3.3973292501582723E-3</v>
      </c>
      <c r="M390" s="266">
        <v>0.6268946108315544</v>
      </c>
      <c r="N390" s="266">
        <v>-3.1592358324227269E-3</v>
      </c>
      <c r="O390" s="163">
        <v>1638.650092029093</v>
      </c>
      <c r="P390" s="264">
        <v>2.1840524303659201</v>
      </c>
      <c r="S390" s="266"/>
    </row>
    <row r="391" spans="2:19" x14ac:dyDescent="0.2">
      <c r="B391" t="s">
        <v>522</v>
      </c>
      <c r="C391" s="266">
        <v>-2.0487344985133077E-2</v>
      </c>
      <c r="D391" s="266">
        <v>0</v>
      </c>
      <c r="E391" s="266">
        <v>-7.5712980818024966E-2</v>
      </c>
      <c r="F391" s="266">
        <v>2.5203829628877839E-2</v>
      </c>
      <c r="G391" s="266">
        <v>2.642173280557529E-2</v>
      </c>
      <c r="H391" s="266">
        <v>-9.0391082242295057E-2</v>
      </c>
      <c r="I391" s="266">
        <v>0.26813197620101292</v>
      </c>
      <c r="J391" s="266">
        <v>0.73186802379898708</v>
      </c>
      <c r="K391" s="266">
        <v>-3.2342095470076798E-2</v>
      </c>
      <c r="L391" s="266">
        <v>-2.0273013295443013E-2</v>
      </c>
      <c r="M391" s="266">
        <v>0.72470727829395531</v>
      </c>
      <c r="N391" s="266">
        <v>-1.3896816935518233E-2</v>
      </c>
      <c r="O391" s="163">
        <v>1559.6900171591992</v>
      </c>
      <c r="P391" s="264">
        <v>3.0491659350307287</v>
      </c>
      <c r="S391" s="266"/>
    </row>
    <row r="392" spans="2:19" x14ac:dyDescent="0.2">
      <c r="B392" t="s">
        <v>190</v>
      </c>
      <c r="C392" s="266">
        <v>5.2922068588840659E-2</v>
      </c>
      <c r="D392" s="266">
        <v>7.2788353863381852E-2</v>
      </c>
      <c r="E392" s="266">
        <v>0.54596683885417041</v>
      </c>
      <c r="F392" s="266">
        <v>1.1198208286674132E-2</v>
      </c>
      <c r="G392" s="266">
        <v>2.6117111584727088E-2</v>
      </c>
      <c r="H392" s="266">
        <v>0.52981215908680412</v>
      </c>
      <c r="I392" s="266">
        <v>0.61869604394965561</v>
      </c>
      <c r="J392" s="266">
        <v>0.41299899412251984</v>
      </c>
      <c r="K392" s="266">
        <v>1.8675721561969439E-2</v>
      </c>
      <c r="L392" s="266">
        <v>3.5111801466604052E-2</v>
      </c>
      <c r="M392" s="266">
        <v>0.73190996121206053</v>
      </c>
      <c r="N392" s="266">
        <v>7.10580488895028E-3</v>
      </c>
      <c r="O392" s="163">
        <v>1226.5879051442164</v>
      </c>
      <c r="P392" s="264">
        <v>0.6882227415913017</v>
      </c>
    </row>
    <row r="393" spans="2:19" x14ac:dyDescent="0.2">
      <c r="B393" t="s">
        <v>820</v>
      </c>
      <c r="G393" s="266"/>
      <c r="L393" s="266"/>
      <c r="M393" s="266"/>
      <c r="N393" s="266"/>
      <c r="O393" s="163"/>
    </row>
    <row r="394" spans="2:19" x14ac:dyDescent="0.2">
      <c r="G394" s="266"/>
      <c r="L394" s="266"/>
      <c r="M394" s="266"/>
      <c r="N394" s="266"/>
      <c r="O394" s="163"/>
    </row>
    <row r="395" spans="2:19" x14ac:dyDescent="0.2">
      <c r="B395" t="s">
        <v>169</v>
      </c>
      <c r="C395" s="266">
        <v>-2.8872719247171981E-3</v>
      </c>
      <c r="D395" s="266">
        <v>4.1925029982903365E-2</v>
      </c>
      <c r="E395" s="266">
        <v>0.3629079588660083</v>
      </c>
      <c r="F395" s="266">
        <v>1.6101457041516751E-2</v>
      </c>
      <c r="G395" s="266">
        <v>2.2098037714664828E-2</v>
      </c>
      <c r="H395" s="266">
        <v>0.35003444844216491</v>
      </c>
      <c r="I395" s="266">
        <v>0.61699597511891691</v>
      </c>
      <c r="J395" s="266">
        <v>0.38300402488108304</v>
      </c>
      <c r="K395" s="266">
        <v>9.2398377095613562E-2</v>
      </c>
      <c r="L395" s="266">
        <v>-2.5236673556355099E-2</v>
      </c>
      <c r="M395" s="266">
        <v>0.6579996050647221</v>
      </c>
      <c r="N395" s="266">
        <v>-3.7172650214591235E-2</v>
      </c>
      <c r="O395" s="163">
        <v>1779.9345332018408</v>
      </c>
      <c r="P395" s="264">
        <v>0.9381209691476381</v>
      </c>
    </row>
    <row r="396" spans="2:19" x14ac:dyDescent="0.2">
      <c r="B396" t="s">
        <v>172</v>
      </c>
      <c r="C396" s="266">
        <v>1.0050467822774902E-2</v>
      </c>
      <c r="D396" s="266">
        <v>0.10178386105073528</v>
      </c>
      <c r="E396" s="266">
        <v>0.69958291722963051</v>
      </c>
      <c r="F396" s="266">
        <v>2.3889247880318785E-2</v>
      </c>
      <c r="G396" s="266">
        <v>6.0878419393369756E-2</v>
      </c>
      <c r="H396" s="266">
        <v>0.66166108598171103</v>
      </c>
      <c r="I396" s="266">
        <v>0.74143141215338126</v>
      </c>
      <c r="J396" s="266">
        <v>0.25856858784661874</v>
      </c>
      <c r="K396" s="266">
        <v>6.5401711410053062E-2</v>
      </c>
      <c r="L396" s="266">
        <v>7.12761166265249E-3</v>
      </c>
      <c r="M396" s="266">
        <v>0.50992563757716514</v>
      </c>
      <c r="N396" s="266">
        <v>-9.3204591038885615E-4</v>
      </c>
      <c r="O396" s="163">
        <v>2153.8025217155268</v>
      </c>
      <c r="P396" s="264">
        <v>0.73681229200594778</v>
      </c>
    </row>
    <row r="397" spans="2:19" x14ac:dyDescent="0.2">
      <c r="B397" t="s">
        <v>165</v>
      </c>
      <c r="C397" s="266">
        <v>-1.1427626864697921E-2</v>
      </c>
      <c r="D397" s="266">
        <v>2.0157103678402899E-2</v>
      </c>
      <c r="E397" s="266">
        <v>0.37932590062512084</v>
      </c>
      <c r="F397" s="266">
        <v>2.585694542902766E-2</v>
      </c>
      <c r="G397" s="266">
        <v>5.636112364217024E-2</v>
      </c>
      <c r="H397" s="266">
        <v>0.34466678123635008</v>
      </c>
      <c r="I397" s="266">
        <v>0.7042731544253712</v>
      </c>
      <c r="J397" s="266">
        <v>0.29572684557462886</v>
      </c>
      <c r="K397" s="266">
        <v>-2.057957938604971E-2</v>
      </c>
      <c r="L397" s="266">
        <v>3.1640924290921066E-2</v>
      </c>
      <c r="M397" s="266">
        <v>0.65954942084282242</v>
      </c>
      <c r="N397" s="266">
        <v>-1.5827305858213094E-2</v>
      </c>
      <c r="O397" s="163">
        <v>2681.7293941341436</v>
      </c>
      <c r="P397" s="264">
        <v>1.1034585189900277</v>
      </c>
    </row>
    <row r="398" spans="2:19" x14ac:dyDescent="0.2">
      <c r="B398" t="s">
        <v>923</v>
      </c>
      <c r="G398" s="266"/>
      <c r="L398" s="266"/>
      <c r="M398" s="266"/>
      <c r="N398" s="266"/>
      <c r="O398" s="163"/>
    </row>
    <row r="400" spans="2:19" x14ac:dyDescent="0.2">
      <c r="B400" t="s">
        <v>189</v>
      </c>
      <c r="C400" s="266">
        <v>-3.0615055812892717E-2</v>
      </c>
      <c r="D400" s="266">
        <v>6.1087354917532068E-2</v>
      </c>
      <c r="E400" s="266">
        <v>0.45784972510690286</v>
      </c>
      <c r="F400" s="266">
        <v>0</v>
      </c>
      <c r="G400" s="266">
        <v>2.604939348983332E-2</v>
      </c>
      <c r="H400" s="266">
        <v>0.44039663146871455</v>
      </c>
      <c r="I400" s="266">
        <v>0.48570403587443944</v>
      </c>
      <c r="J400" s="266">
        <v>0.51429596412556056</v>
      </c>
      <c r="K400" s="266">
        <v>5.0789772231433807E-2</v>
      </c>
      <c r="L400" s="266">
        <v>-2.8067457893358932E-2</v>
      </c>
      <c r="M400" s="266">
        <v>0.71287091055594032</v>
      </c>
      <c r="N400" s="266">
        <v>7.4260743596144844E-3</v>
      </c>
      <c r="O400" s="163">
        <v>1337.8451303538175</v>
      </c>
      <c r="P400" s="264">
        <v>0.80390604381103192</v>
      </c>
    </row>
    <row r="401" spans="2:16" x14ac:dyDescent="0.2">
      <c r="B401" t="s">
        <v>188</v>
      </c>
      <c r="C401" s="266">
        <v>-8.6177401419895647E-3</v>
      </c>
      <c r="D401" s="266">
        <v>0</v>
      </c>
      <c r="E401" s="266">
        <v>0.42160865356286037</v>
      </c>
      <c r="F401" s="266">
        <v>6.60802222315754E-3</v>
      </c>
      <c r="G401" s="266">
        <v>3.3587272191590557E-2</v>
      </c>
      <c r="H401" s="266">
        <v>0.39989814386127359</v>
      </c>
      <c r="I401" s="266">
        <v>0.6762357585000448</v>
      </c>
      <c r="J401" s="266">
        <v>0.32376424149995514</v>
      </c>
      <c r="K401" s="266">
        <v>1.3594848268024748E-2</v>
      </c>
      <c r="L401" s="266">
        <v>-1.0206658529399386E-2</v>
      </c>
      <c r="M401" s="266">
        <v>0.71348302850949641</v>
      </c>
      <c r="N401" s="266">
        <v>-1.7489851967368977E-2</v>
      </c>
      <c r="O401" s="163">
        <v>1407.2702266204849</v>
      </c>
      <c r="P401" s="264">
        <v>1.3044172432144758</v>
      </c>
    </row>
    <row r="402" spans="2:16" x14ac:dyDescent="0.2">
      <c r="B402" t="s">
        <v>187</v>
      </c>
      <c r="G402" s="266"/>
      <c r="L402" s="266"/>
      <c r="M402" s="266"/>
      <c r="N402" s="266"/>
      <c r="O402" s="163"/>
    </row>
    <row r="404" spans="2:16" x14ac:dyDescent="0.2">
      <c r="B404" t="s">
        <v>263</v>
      </c>
      <c r="C404" s="266">
        <v>1.442103638538411E-2</v>
      </c>
      <c r="D404" s="266">
        <v>0</v>
      </c>
      <c r="E404" s="266">
        <v>0.23848148148148149</v>
      </c>
      <c r="F404" s="266">
        <v>0.20066666666666666</v>
      </c>
      <c r="G404" s="266">
        <v>3.5925925925925925E-3</v>
      </c>
      <c r="H404" s="266">
        <v>0.26015444444444447</v>
      </c>
      <c r="I404" s="266">
        <v>0.64636915048625931</v>
      </c>
      <c r="J404" s="266">
        <v>0.35363084951374063</v>
      </c>
      <c r="K404" s="266">
        <v>2.6592592592592591E-2</v>
      </c>
      <c r="L404" s="266">
        <v>-5.5555555555555556E-4</v>
      </c>
      <c r="M404" s="266">
        <v>0.68608985079347262</v>
      </c>
      <c r="N404" s="266">
        <v>-4.2913551655593676E-3</v>
      </c>
      <c r="O404" s="163">
        <v>1555.3619063421829</v>
      </c>
      <c r="P404" s="264">
        <v>1.6498285714285714</v>
      </c>
    </row>
    <row r="405" spans="2:16" x14ac:dyDescent="0.2">
      <c r="B405" t="s">
        <v>274</v>
      </c>
    </row>
  </sheetData>
  <sheetProtection algorithmName="SHA-512" hashValue="FHh8Uzih/wKIWkwGmOwdVEc83qE+yhaSLQhQJGWipN1tqYnsLFMLV6fK0TFq7KqE/lZOYgoiMUE2Te5w0ddrgw==" saltValue="Dn/EBfPHjUSfruAfrwyCFA=="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3"/>
  <sheetViews>
    <sheetView workbookViewId="0">
      <selection activeCell="M382" sqref="M382"/>
    </sheetView>
  </sheetViews>
  <sheetFormatPr defaultRowHeight="12.75" x14ac:dyDescent="0.2"/>
  <cols>
    <col min="1" max="1" width="9.140625" style="255" bestFit="1" customWidth="1"/>
    <col min="2" max="2" width="26.140625" style="255" bestFit="1" customWidth="1"/>
    <col min="3" max="3" width="17.5703125" style="255" bestFit="1" customWidth="1"/>
    <col min="4" max="4" width="28.5703125" style="255" bestFit="1" customWidth="1"/>
    <col min="5" max="5" width="28.7109375" style="255" bestFit="1" customWidth="1"/>
    <col min="6" max="6" width="16.28515625" style="256" bestFit="1" customWidth="1"/>
    <col min="7" max="7" width="15.5703125" style="257" bestFit="1" customWidth="1"/>
    <col min="8" max="8" width="18.7109375" style="257" bestFit="1" customWidth="1"/>
    <col min="9" max="9" width="20.7109375" style="257" bestFit="1" customWidth="1"/>
    <col min="10" max="10" width="23.85546875" style="257" bestFit="1" customWidth="1"/>
    <col min="11" max="11" width="30.140625" style="257" bestFit="1" customWidth="1"/>
    <col min="12" max="12" width="24.7109375" style="257" bestFit="1" customWidth="1"/>
    <col min="13" max="13" width="28.140625" style="257" bestFit="1" customWidth="1"/>
    <col min="14" max="15" width="33.85546875" style="257" bestFit="1" customWidth="1"/>
    <col min="16" max="16" width="27.7109375" style="163" bestFit="1" customWidth="1"/>
    <col min="17" max="17" width="19" bestFit="1" customWidth="1"/>
    <col min="18" max="18" width="26.140625" bestFit="1" customWidth="1"/>
    <col min="19" max="19" width="29.28515625" bestFit="1" customWidth="1"/>
    <col min="20" max="20" width="22.85546875" style="164" bestFit="1" customWidth="1"/>
    <col min="21" max="21" width="34" bestFit="1" customWidth="1"/>
    <col min="22" max="22" width="33.42578125" bestFit="1" customWidth="1"/>
    <col min="23" max="23" width="11" bestFit="1" customWidth="1"/>
  </cols>
  <sheetData>
    <row r="1" spans="1:20" x14ac:dyDescent="0.2">
      <c r="A1" s="254" t="s">
        <v>627</v>
      </c>
      <c r="B1" s="254" t="s">
        <v>642</v>
      </c>
      <c r="C1" s="254" t="s">
        <v>761</v>
      </c>
      <c r="D1" s="254" t="s">
        <v>762</v>
      </c>
      <c r="E1" s="254" t="s">
        <v>763</v>
      </c>
      <c r="F1" s="256" t="s">
        <v>764</v>
      </c>
      <c r="G1" s="257" t="s">
        <v>688</v>
      </c>
      <c r="H1" s="257" t="s">
        <v>765</v>
      </c>
      <c r="I1" s="257" t="s">
        <v>766</v>
      </c>
      <c r="J1" s="257" t="s">
        <v>767</v>
      </c>
      <c r="K1" s="257" t="s">
        <v>818</v>
      </c>
      <c r="L1" s="257" t="s">
        <v>768</v>
      </c>
      <c r="M1" s="257" t="s">
        <v>769</v>
      </c>
      <c r="P1" s="203"/>
      <c r="Q1" s="202"/>
      <c r="R1" s="125"/>
    </row>
    <row r="2" spans="1:20" x14ac:dyDescent="0.2">
      <c r="A2" s="254" t="s">
        <v>628</v>
      </c>
      <c r="B2" s="254" t="s">
        <v>143</v>
      </c>
      <c r="C2" s="254">
        <v>0.1265</v>
      </c>
      <c r="D2" s="254">
        <v>0.20319999999999999</v>
      </c>
      <c r="E2" s="254">
        <v>0.1109</v>
      </c>
      <c r="F2" s="256">
        <v>290.83999999999997</v>
      </c>
      <c r="G2" s="257">
        <v>2477470355.731225</v>
      </c>
      <c r="H2" s="257">
        <v>427570837.3129577</v>
      </c>
      <c r="I2" s="257">
        <v>3134</v>
      </c>
      <c r="J2" s="257">
        <v>1343</v>
      </c>
      <c r="K2" s="257">
        <v>6415278.1584374961</v>
      </c>
      <c r="L2" s="257">
        <v>1938278.1584374961</v>
      </c>
      <c r="M2" s="257">
        <v>1938278.1584374961</v>
      </c>
      <c r="Q2" s="163"/>
      <c r="R2" s="125"/>
      <c r="S2" s="124"/>
      <c r="T2" s="205"/>
    </row>
    <row r="3" spans="1:20" x14ac:dyDescent="0.2">
      <c r="A3" s="254" t="s">
        <v>629</v>
      </c>
      <c r="B3" s="254" t="s">
        <v>416</v>
      </c>
      <c r="C3" s="254">
        <v>0.1188</v>
      </c>
      <c r="D3" s="254">
        <v>0.1963</v>
      </c>
      <c r="E3" s="254">
        <v>0.13780000000000001</v>
      </c>
      <c r="F3" s="256">
        <v>303.27999999999997</v>
      </c>
      <c r="G3" s="257">
        <v>1249158249.1582491</v>
      </c>
      <c r="H3" s="257">
        <v>238850643.5199042</v>
      </c>
      <c r="I3" s="257">
        <v>1484</v>
      </c>
      <c r="J3" s="257">
        <v>798</v>
      </c>
      <c r="K3" s="257">
        <v>3324204.6071812608</v>
      </c>
      <c r="L3" s="257">
        <v>1042204.6071812608</v>
      </c>
      <c r="M3" s="257">
        <v>1042204.6071812608</v>
      </c>
      <c r="Q3" s="163"/>
      <c r="R3" s="125"/>
      <c r="S3" s="124"/>
      <c r="T3" s="205"/>
    </row>
    <row r="4" spans="1:20" x14ac:dyDescent="0.2">
      <c r="A4" s="254" t="s">
        <v>630</v>
      </c>
      <c r="B4" s="254" t="s">
        <v>301</v>
      </c>
      <c r="C4" s="254">
        <v>0.1154</v>
      </c>
      <c r="D4" s="254">
        <v>0.21129999999999999</v>
      </c>
      <c r="E4" s="254">
        <v>0.18429999999999999</v>
      </c>
      <c r="F4" s="256">
        <v>368.11</v>
      </c>
      <c r="G4" s="257">
        <v>4117850953.2062387</v>
      </c>
      <c r="H4" s="257">
        <v>987866531.85035408</v>
      </c>
      <c r="I4" s="257">
        <v>4752</v>
      </c>
      <c r="J4" s="257">
        <v>3908</v>
      </c>
      <c r="K4" s="257">
        <v>11730149.232545873</v>
      </c>
      <c r="L4" s="257">
        <v>3070149.2325458732</v>
      </c>
      <c r="M4" s="257">
        <v>3070149.2325458732</v>
      </c>
      <c r="Q4" s="163"/>
      <c r="R4" s="125"/>
      <c r="S4" s="124"/>
      <c r="T4" s="205"/>
    </row>
    <row r="5" spans="1:20" x14ac:dyDescent="0.2">
      <c r="A5" s="254" t="s">
        <v>631</v>
      </c>
      <c r="B5" s="254" t="s">
        <v>223</v>
      </c>
      <c r="C5" s="254">
        <v>0.1328</v>
      </c>
      <c r="D5" s="254">
        <v>0.18149999999999999</v>
      </c>
      <c r="E5" s="254">
        <v>0.13550000000000001</v>
      </c>
      <c r="F5" s="256">
        <v>258.02</v>
      </c>
      <c r="G5" s="257">
        <v>2267319277.1084337</v>
      </c>
      <c r="H5" s="257">
        <v>494637223.97476339</v>
      </c>
      <c r="I5" s="257">
        <v>3011</v>
      </c>
      <c r="J5" s="257">
        <v>1568</v>
      </c>
      <c r="K5" s="257">
        <v>6268942.9207365736</v>
      </c>
      <c r="L5" s="257">
        <v>1689942.9207365736</v>
      </c>
      <c r="M5" s="257">
        <v>1689942.9207365736</v>
      </c>
      <c r="Q5" s="163"/>
      <c r="R5" s="125"/>
      <c r="S5" s="124"/>
      <c r="T5" s="205"/>
    </row>
    <row r="6" spans="1:20" x14ac:dyDescent="0.2">
      <c r="A6" s="254" t="s">
        <v>632</v>
      </c>
      <c r="B6" s="254" t="s">
        <v>179</v>
      </c>
      <c r="C6" s="254">
        <v>0.17119999999999999</v>
      </c>
      <c r="D6" s="254">
        <v>0.27850000000000003</v>
      </c>
      <c r="E6" s="254">
        <v>0.2261</v>
      </c>
      <c r="F6" s="256">
        <v>292.56</v>
      </c>
      <c r="G6" s="257">
        <v>1974883177.5700934</v>
      </c>
      <c r="H6" s="257">
        <v>404082441.53785175</v>
      </c>
      <c r="I6" s="257">
        <v>3381</v>
      </c>
      <c r="J6" s="257">
        <v>2039</v>
      </c>
      <c r="K6" s="257">
        <v>5357367.5167431589</v>
      </c>
      <c r="L6" s="257">
        <v>-62632.483256841078</v>
      </c>
      <c r="M6" s="257">
        <v>0</v>
      </c>
      <c r="Q6" s="163"/>
      <c r="R6" s="125"/>
      <c r="S6" s="124"/>
      <c r="T6" s="205"/>
    </row>
    <row r="7" spans="1:20" x14ac:dyDescent="0.2">
      <c r="A7" s="254" t="s">
        <v>633</v>
      </c>
      <c r="B7" s="254" t="s">
        <v>346</v>
      </c>
      <c r="C7" s="254">
        <v>0.1258</v>
      </c>
      <c r="D7" s="254">
        <v>0.30719999999999997</v>
      </c>
      <c r="E7" s="254">
        <v>0.2505</v>
      </c>
      <c r="F7" s="256">
        <v>257.3</v>
      </c>
      <c r="G7" s="257">
        <v>1692368839.4276628</v>
      </c>
      <c r="H7" s="257">
        <v>441455979.91751844</v>
      </c>
      <c r="I7" s="257">
        <v>2129</v>
      </c>
      <c r="J7" s="257">
        <v>2462</v>
      </c>
      <c r="K7" s="257">
        <v>4957415.538580697</v>
      </c>
      <c r="L7" s="257">
        <v>366415.53858069703</v>
      </c>
      <c r="M7" s="257">
        <v>366415.53858069703</v>
      </c>
      <c r="Q7" s="163"/>
      <c r="R7" s="125"/>
      <c r="S7" s="124"/>
      <c r="T7" s="205"/>
    </row>
    <row r="8" spans="1:20" x14ac:dyDescent="0.2">
      <c r="A8" s="254" t="s">
        <v>633</v>
      </c>
      <c r="B8" s="254" t="s">
        <v>347</v>
      </c>
      <c r="C8" s="254">
        <v>0.14000000000000001</v>
      </c>
      <c r="D8" s="254">
        <v>0.40899999999999997</v>
      </c>
      <c r="E8" s="254">
        <v>0.32700000000000001</v>
      </c>
      <c r="F8" s="256">
        <v>371.6</v>
      </c>
      <c r="G8" s="257">
        <v>2649999999.9999995</v>
      </c>
      <c r="H8" s="257">
        <v>425815217.39130431</v>
      </c>
      <c r="I8" s="257">
        <v>3710</v>
      </c>
      <c r="J8" s="257">
        <v>3134</v>
      </c>
      <c r="K8" s="257">
        <v>6740638.5869565206</v>
      </c>
      <c r="L8" s="257">
        <v>-103361.41304347944</v>
      </c>
      <c r="M8" s="257">
        <v>0</v>
      </c>
      <c r="Q8" s="163"/>
      <c r="R8" s="125"/>
      <c r="S8" s="124"/>
      <c r="T8" s="205"/>
    </row>
    <row r="9" spans="1:20" x14ac:dyDescent="0.2">
      <c r="A9" s="254" t="s">
        <v>630</v>
      </c>
      <c r="B9" s="254" t="s">
        <v>302</v>
      </c>
      <c r="C9" s="254">
        <v>9.0999999999999998E-2</v>
      </c>
      <c r="D9" s="254">
        <v>0.26100000000000001</v>
      </c>
      <c r="E9" s="254">
        <v>0.21199999999999999</v>
      </c>
      <c r="F9" s="256">
        <v>181.62</v>
      </c>
      <c r="G9" s="257">
        <v>10312087912.087912</v>
      </c>
      <c r="H9" s="257">
        <v>2653276955.6025372</v>
      </c>
      <c r="I9" s="257">
        <v>9384</v>
      </c>
      <c r="J9" s="257">
        <v>12550</v>
      </c>
      <c r="K9" s="257">
        <v>30065885.509838998</v>
      </c>
      <c r="L9" s="257">
        <v>8131885.5098389983</v>
      </c>
      <c r="M9" s="257">
        <v>8131885.5098389983</v>
      </c>
      <c r="Q9" s="163"/>
      <c r="R9" s="125"/>
      <c r="S9" s="124"/>
      <c r="T9" s="205"/>
    </row>
    <row r="10" spans="1:20" x14ac:dyDescent="0.2">
      <c r="A10" s="254" t="s">
        <v>634</v>
      </c>
      <c r="B10" s="254" t="s">
        <v>199</v>
      </c>
      <c r="C10" s="254">
        <v>0.18149999999999999</v>
      </c>
      <c r="D10" s="254">
        <v>0.39829999999999999</v>
      </c>
      <c r="E10" s="254">
        <v>0.3175</v>
      </c>
      <c r="F10" s="256">
        <v>289.08</v>
      </c>
      <c r="G10" s="257">
        <v>5158677685.9504137</v>
      </c>
      <c r="H10" s="257">
        <v>1647946353.730092</v>
      </c>
      <c r="I10" s="257">
        <v>9363</v>
      </c>
      <c r="J10" s="257">
        <v>11796</v>
      </c>
      <c r="K10" s="257">
        <v>16275048.007315401</v>
      </c>
      <c r="L10" s="257">
        <v>-4883951.992684599</v>
      </c>
      <c r="M10" s="257">
        <v>0</v>
      </c>
      <c r="Q10" s="163"/>
      <c r="R10" s="125"/>
      <c r="S10" s="124"/>
      <c r="T10" s="205"/>
    </row>
    <row r="11" spans="1:20" x14ac:dyDescent="0.2">
      <c r="A11" s="254" t="s">
        <v>635</v>
      </c>
      <c r="B11" s="254" t="s">
        <v>511</v>
      </c>
      <c r="C11" s="254">
        <v>0.14380000000000001</v>
      </c>
      <c r="D11" s="254">
        <v>0.32050000000000001</v>
      </c>
      <c r="E11" s="254">
        <v>0.25750000000000001</v>
      </c>
      <c r="F11" s="256">
        <v>287.45999999999998</v>
      </c>
      <c r="G11" s="257">
        <v>16557719054.242002</v>
      </c>
      <c r="H11" s="257">
        <v>3418685121.1072664</v>
      </c>
      <c r="I11" s="257">
        <v>23810</v>
      </c>
      <c r="J11" s="257">
        <v>19760</v>
      </c>
      <c r="K11" s="257">
        <v>45035546.895678833</v>
      </c>
      <c r="L11" s="257">
        <v>1465546.8956788331</v>
      </c>
      <c r="M11" s="257">
        <v>1465546.8956788331</v>
      </c>
      <c r="Q11" s="163"/>
      <c r="R11" s="125"/>
      <c r="S11" s="124"/>
      <c r="T11" s="205"/>
    </row>
    <row r="12" spans="1:20" x14ac:dyDescent="0.2">
      <c r="A12" s="254" t="s">
        <v>633</v>
      </c>
      <c r="B12" s="254" t="s">
        <v>348</v>
      </c>
      <c r="C12" s="254">
        <v>0.1166</v>
      </c>
      <c r="D12" s="254">
        <v>0.193</v>
      </c>
      <c r="E12" s="254">
        <v>0.16700000000000001</v>
      </c>
      <c r="F12" s="256">
        <v>266.83999999999997</v>
      </c>
      <c r="G12" s="257">
        <v>10771012006.861065</v>
      </c>
      <c r="H12" s="257">
        <v>2088333333.3333335</v>
      </c>
      <c r="I12" s="257">
        <v>12559</v>
      </c>
      <c r="J12" s="257">
        <v>7518</v>
      </c>
      <c r="K12" s="257">
        <v>28774281.446540885</v>
      </c>
      <c r="L12" s="257">
        <v>8697281.4465408847</v>
      </c>
      <c r="M12" s="257">
        <v>8697281.4465408847</v>
      </c>
      <c r="Q12" s="163"/>
      <c r="R12" s="125"/>
      <c r="S12" s="124"/>
      <c r="T12" s="205"/>
    </row>
    <row r="13" spans="1:20" x14ac:dyDescent="0.2">
      <c r="A13" s="254" t="s">
        <v>629</v>
      </c>
      <c r="B13" s="254" t="s">
        <v>417</v>
      </c>
      <c r="C13" s="254">
        <v>0.1096</v>
      </c>
      <c r="D13" s="254">
        <v>0.14729999999999999</v>
      </c>
      <c r="E13" s="254">
        <v>0.12379999999999999</v>
      </c>
      <c r="F13" s="256">
        <v>336.42</v>
      </c>
      <c r="G13" s="257">
        <v>1188868613.1386862</v>
      </c>
      <c r="H13" s="257">
        <v>305791220.95167834</v>
      </c>
      <c r="I13" s="257">
        <v>1303</v>
      </c>
      <c r="J13" s="257">
        <v>829</v>
      </c>
      <c r="K13" s="257">
        <v>3465868.280955933</v>
      </c>
      <c r="L13" s="257">
        <v>1333868.280955933</v>
      </c>
      <c r="M13" s="257">
        <v>1333868.280955933</v>
      </c>
      <c r="Q13" s="163"/>
      <c r="R13" s="125"/>
      <c r="S13" s="124"/>
      <c r="T13" s="205"/>
    </row>
    <row r="14" spans="1:20" x14ac:dyDescent="0.2">
      <c r="A14" s="254" t="s">
        <v>632</v>
      </c>
      <c r="B14" s="254" t="s">
        <v>180</v>
      </c>
      <c r="C14" s="254">
        <v>0.1041</v>
      </c>
      <c r="D14" s="254">
        <v>0.14760000000000001</v>
      </c>
      <c r="E14" s="254">
        <v>0.1181</v>
      </c>
      <c r="F14" s="256">
        <v>251.5</v>
      </c>
      <c r="G14" s="257">
        <v>826128722.3823247</v>
      </c>
      <c r="H14" s="257">
        <v>202107640.19570944</v>
      </c>
      <c r="I14" s="257">
        <v>860</v>
      </c>
      <c r="J14" s="257">
        <v>537</v>
      </c>
      <c r="K14" s="257">
        <v>2368412.2053394564</v>
      </c>
      <c r="L14" s="257">
        <v>971412.20533945644</v>
      </c>
      <c r="M14" s="257">
        <v>971412.20533945644</v>
      </c>
      <c r="Q14" s="163"/>
      <c r="R14" s="125"/>
      <c r="S14" s="124"/>
      <c r="T14" s="205"/>
    </row>
    <row r="15" spans="1:20" x14ac:dyDescent="0.2">
      <c r="A15" s="254" t="s">
        <v>636</v>
      </c>
      <c r="B15" s="254" t="s">
        <v>276</v>
      </c>
      <c r="C15" s="254">
        <v>0.13339999999999999</v>
      </c>
      <c r="D15" s="254">
        <v>0.32390000000000002</v>
      </c>
      <c r="E15" s="254">
        <v>0.26440000000000002</v>
      </c>
      <c r="F15" s="256">
        <v>339.94</v>
      </c>
      <c r="G15" s="257">
        <v>16834332833.58321</v>
      </c>
      <c r="H15" s="257">
        <v>3665816760.1563826</v>
      </c>
      <c r="I15" s="257">
        <v>22457</v>
      </c>
      <c r="J15" s="257">
        <v>21566</v>
      </c>
      <c r="K15" s="257">
        <v>46519485.23124975</v>
      </c>
      <c r="L15" s="257">
        <v>2496485.2312497497</v>
      </c>
      <c r="M15" s="257">
        <v>2496485.2312497497</v>
      </c>
      <c r="Q15" s="163"/>
      <c r="R15" s="125"/>
      <c r="S15" s="124"/>
      <c r="T15" s="205"/>
    </row>
    <row r="16" spans="1:20" x14ac:dyDescent="0.2">
      <c r="A16" s="254" t="s">
        <v>630</v>
      </c>
      <c r="B16" s="254" t="s">
        <v>303</v>
      </c>
      <c r="C16" s="254">
        <v>7.707E-2</v>
      </c>
      <c r="D16" s="254">
        <v>0.25203999999999999</v>
      </c>
      <c r="E16" s="254">
        <v>0.20294000000000001</v>
      </c>
      <c r="F16" s="256">
        <v>258.24</v>
      </c>
      <c r="G16" s="257">
        <v>14427144154.664591</v>
      </c>
      <c r="H16" s="257">
        <v>2362741219.3942595</v>
      </c>
      <c r="I16" s="257">
        <v>11119</v>
      </c>
      <c r="J16" s="257">
        <v>10750</v>
      </c>
      <c r="K16" s="257">
        <v>36868806.192397237</v>
      </c>
      <c r="L16" s="257">
        <v>14999806.192397237</v>
      </c>
      <c r="M16" s="257">
        <v>14999806.192397237</v>
      </c>
      <c r="Q16" s="163"/>
      <c r="R16" s="125"/>
      <c r="S16" s="124"/>
      <c r="T16" s="205"/>
    </row>
    <row r="17" spans="1:20" x14ac:dyDescent="0.2">
      <c r="A17" s="254" t="s">
        <v>630</v>
      </c>
      <c r="B17" s="254" t="s">
        <v>304</v>
      </c>
      <c r="C17" s="254">
        <v>4.1390000000000003E-2</v>
      </c>
      <c r="D17" s="254">
        <v>0.16150999999999999</v>
      </c>
      <c r="E17" s="254">
        <v>0.12912000000000001</v>
      </c>
      <c r="F17" s="256">
        <v>142.12</v>
      </c>
      <c r="G17" s="257">
        <v>145073689296.93161</v>
      </c>
      <c r="H17" s="257">
        <v>36058562433.33448</v>
      </c>
      <c r="I17" s="257">
        <v>60046</v>
      </c>
      <c r="J17" s="257">
        <v>104797</v>
      </c>
      <c r="K17" s="257">
        <v>418092317.26493108</v>
      </c>
      <c r="L17" s="257">
        <v>253249317.26493108</v>
      </c>
      <c r="M17" s="257">
        <v>253249317.26493108</v>
      </c>
      <c r="Q17" s="163"/>
      <c r="R17" s="125"/>
      <c r="S17" s="124"/>
      <c r="T17" s="205"/>
    </row>
    <row r="18" spans="1:20" x14ac:dyDescent="0.2">
      <c r="A18" s="254" t="s">
        <v>631</v>
      </c>
      <c r="B18" s="254" t="s">
        <v>224</v>
      </c>
      <c r="C18" s="254">
        <v>0.14130000000000001</v>
      </c>
      <c r="D18" s="254">
        <v>0.40720000000000001</v>
      </c>
      <c r="E18" s="254">
        <v>0.3221</v>
      </c>
      <c r="F18" s="256">
        <v>314.22000000000003</v>
      </c>
      <c r="G18" s="257">
        <v>15934890304.317053</v>
      </c>
      <c r="H18" s="257">
        <v>4124640065.8165359</v>
      </c>
      <c r="I18" s="257">
        <v>22516</v>
      </c>
      <c r="J18" s="257">
        <v>30081</v>
      </c>
      <c r="K18" s="257">
        <v>46554528.089203991</v>
      </c>
      <c r="L18" s="257">
        <v>-6042471.910796009</v>
      </c>
      <c r="M18" s="257">
        <v>0</v>
      </c>
      <c r="Q18" s="163"/>
      <c r="R18" s="125"/>
      <c r="S18" s="124"/>
      <c r="T18" s="205"/>
    </row>
    <row r="19" spans="1:20" x14ac:dyDescent="0.2">
      <c r="A19" s="254" t="s">
        <v>637</v>
      </c>
      <c r="B19" s="254" t="s">
        <v>156</v>
      </c>
      <c r="C19" s="254">
        <v>0.25540000000000002</v>
      </c>
      <c r="D19" s="254">
        <v>0.40870000000000001</v>
      </c>
      <c r="E19" s="254">
        <v>0.33929999999999999</v>
      </c>
      <c r="F19" s="256">
        <v>353.87</v>
      </c>
      <c r="G19" s="257">
        <v>797963978.07360995</v>
      </c>
      <c r="H19" s="257">
        <v>182486631.0160428</v>
      </c>
      <c r="I19" s="257">
        <v>2038</v>
      </c>
      <c r="J19" s="257">
        <v>1365</v>
      </c>
      <c r="K19" s="257">
        <v>2238654.1872034641</v>
      </c>
      <c r="L19" s="257">
        <v>-1164345.8127965359</v>
      </c>
      <c r="M19" s="257">
        <v>0</v>
      </c>
      <c r="Q19" s="163"/>
      <c r="R19" s="125"/>
      <c r="S19" s="124"/>
      <c r="T19" s="205"/>
    </row>
    <row r="20" spans="1:20" x14ac:dyDescent="0.2">
      <c r="A20" s="254" t="s">
        <v>631</v>
      </c>
      <c r="B20" s="254" t="s">
        <v>225</v>
      </c>
      <c r="C20" s="254">
        <v>0.1852</v>
      </c>
      <c r="D20" s="254">
        <v>0.55320000000000003</v>
      </c>
      <c r="E20" s="254">
        <v>0.18440000000000001</v>
      </c>
      <c r="F20" s="256">
        <v>345.81</v>
      </c>
      <c r="G20" s="257">
        <v>13610691144.708422</v>
      </c>
      <c r="H20" s="257">
        <v>3836903470.7158346</v>
      </c>
      <c r="I20" s="257">
        <v>25207</v>
      </c>
      <c r="J20" s="257">
        <v>28301</v>
      </c>
      <c r="K20" s="257">
        <v>40972658.815819681</v>
      </c>
      <c r="L20" s="257">
        <v>-12535341.184180319</v>
      </c>
      <c r="M20" s="257">
        <v>0</v>
      </c>
      <c r="Q20" s="163"/>
      <c r="R20" s="125"/>
      <c r="S20" s="124"/>
      <c r="T20" s="205"/>
    </row>
    <row r="21" spans="1:20" x14ac:dyDescent="0.2">
      <c r="A21" s="254" t="s">
        <v>628</v>
      </c>
      <c r="B21" s="254" t="s">
        <v>144</v>
      </c>
      <c r="C21" s="254">
        <v>0.17380000000000001</v>
      </c>
      <c r="D21" s="254">
        <v>0.37780000000000002</v>
      </c>
      <c r="E21" s="254">
        <v>0.30649999999999999</v>
      </c>
      <c r="F21" s="256">
        <v>301.39999999999998</v>
      </c>
      <c r="G21" s="257">
        <v>5113924050.6329107</v>
      </c>
      <c r="H21" s="257">
        <v>1244921817.9161186</v>
      </c>
      <c r="I21" s="257">
        <v>8888</v>
      </c>
      <c r="J21" s="257">
        <v>8519</v>
      </c>
      <c r="K21" s="257">
        <v>14637252.796445411</v>
      </c>
      <c r="L21" s="257">
        <v>-2769747.2035545893</v>
      </c>
      <c r="M21" s="257">
        <v>0</v>
      </c>
      <c r="Q21" s="163"/>
      <c r="R21" s="125"/>
      <c r="S21" s="124"/>
      <c r="T21" s="205"/>
    </row>
    <row r="22" spans="1:20" x14ac:dyDescent="0.2">
      <c r="A22" s="254" t="s">
        <v>629</v>
      </c>
      <c r="B22" s="254" t="s">
        <v>418</v>
      </c>
      <c r="C22" s="254">
        <v>0.1166</v>
      </c>
      <c r="D22" s="254">
        <v>0.21049999999999999</v>
      </c>
      <c r="E22" s="254">
        <v>0.1671</v>
      </c>
      <c r="F22" s="256">
        <v>317.55</v>
      </c>
      <c r="G22" s="257">
        <v>1819897084.0480275</v>
      </c>
      <c r="H22" s="257">
        <v>474046610.16949153</v>
      </c>
      <c r="I22" s="257">
        <v>2122</v>
      </c>
      <c r="J22" s="257">
        <v>1790</v>
      </c>
      <c r="K22" s="257">
        <v>5328381.3359449953</v>
      </c>
      <c r="L22" s="257">
        <v>1416381.3359449953</v>
      </c>
      <c r="M22" s="257">
        <v>1416381.3359449953</v>
      </c>
      <c r="Q22" s="163"/>
      <c r="R22" s="125"/>
      <c r="S22" s="124"/>
      <c r="T22" s="205"/>
    </row>
    <row r="23" spans="1:20" x14ac:dyDescent="0.2">
      <c r="A23" s="254" t="s">
        <v>629</v>
      </c>
      <c r="B23" s="254" t="s">
        <v>419</v>
      </c>
      <c r="C23" s="254">
        <v>0.108</v>
      </c>
      <c r="D23" s="254">
        <v>0.14299999999999999</v>
      </c>
      <c r="E23" s="254">
        <v>0.113</v>
      </c>
      <c r="F23" s="256">
        <v>284.74</v>
      </c>
      <c r="G23" s="257">
        <v>750000000</v>
      </c>
      <c r="H23" s="257">
        <v>277343750</v>
      </c>
      <c r="I23" s="257">
        <v>810</v>
      </c>
      <c r="J23" s="257">
        <v>710</v>
      </c>
      <c r="K23" s="257">
        <v>2511523.4375</v>
      </c>
      <c r="L23" s="257">
        <v>991523.4375</v>
      </c>
      <c r="M23" s="257">
        <v>991523.4375</v>
      </c>
      <c r="Q23" s="163"/>
      <c r="R23" s="125"/>
      <c r="S23" s="124"/>
      <c r="T23" s="205"/>
    </row>
    <row r="24" spans="1:20" x14ac:dyDescent="0.2">
      <c r="A24" s="254" t="s">
        <v>636</v>
      </c>
      <c r="B24" s="254" t="s">
        <v>277</v>
      </c>
      <c r="C24" s="254">
        <v>0.1191</v>
      </c>
      <c r="D24" s="254">
        <v>0.22220000000000001</v>
      </c>
      <c r="E24" s="254">
        <v>0.18540000000000001</v>
      </c>
      <c r="F24" s="256">
        <v>364.04</v>
      </c>
      <c r="G24" s="257">
        <v>3365239294.7103276</v>
      </c>
      <c r="H24" s="257">
        <v>481108930.32384694</v>
      </c>
      <c r="I24" s="257">
        <v>4008</v>
      </c>
      <c r="J24" s="257">
        <v>1961</v>
      </c>
      <c r="K24" s="257">
        <v>8330355.0240641916</v>
      </c>
      <c r="L24" s="257">
        <v>2361355.0240641916</v>
      </c>
      <c r="M24" s="257">
        <v>2361355.0240641916</v>
      </c>
      <c r="Q24" s="163"/>
      <c r="R24" s="125"/>
      <c r="S24" s="124"/>
      <c r="T24" s="205"/>
    </row>
    <row r="25" spans="1:20" x14ac:dyDescent="0.2">
      <c r="A25" s="254" t="s">
        <v>633</v>
      </c>
      <c r="B25" s="254" t="s">
        <v>349</v>
      </c>
      <c r="C25" s="254">
        <v>0.1181</v>
      </c>
      <c r="D25" s="254">
        <v>0.153</v>
      </c>
      <c r="E25" s="254">
        <v>0.12989999999999999</v>
      </c>
      <c r="F25" s="256">
        <v>311.25</v>
      </c>
      <c r="G25" s="257">
        <v>4818797629.1278582</v>
      </c>
      <c r="H25" s="257">
        <v>1090491339.6960056</v>
      </c>
      <c r="I25" s="257">
        <v>5691</v>
      </c>
      <c r="J25" s="257">
        <v>3085</v>
      </c>
      <c r="K25" s="257">
        <v>13474577.093900749</v>
      </c>
      <c r="L25" s="257">
        <v>4698577.0939007495</v>
      </c>
      <c r="M25" s="257">
        <v>4698577.0939007495</v>
      </c>
      <c r="Q25" s="163"/>
      <c r="R25" s="125"/>
      <c r="S25" s="124"/>
      <c r="T25" s="205"/>
    </row>
    <row r="26" spans="1:20" x14ac:dyDescent="0.2">
      <c r="A26" s="254" t="s">
        <v>631</v>
      </c>
      <c r="B26" s="254" t="s">
        <v>226</v>
      </c>
      <c r="C26" s="254">
        <v>0.1076</v>
      </c>
      <c r="D26" s="254">
        <v>0.15920000000000001</v>
      </c>
      <c r="E26" s="254">
        <v>0.12570000000000001</v>
      </c>
      <c r="F26" s="256">
        <v>295.23</v>
      </c>
      <c r="G26" s="257">
        <v>6073420074.3494425</v>
      </c>
      <c r="H26" s="257">
        <v>1599508599.5085993</v>
      </c>
      <c r="I26" s="257">
        <v>6535</v>
      </c>
      <c r="J26" s="257">
        <v>4557</v>
      </c>
      <c r="K26" s="257">
        <v>17849441.751230784</v>
      </c>
      <c r="L26" s="257">
        <v>6757441.7512307838</v>
      </c>
      <c r="M26" s="257">
        <v>6757441.7512307838</v>
      </c>
      <c r="Q26" s="163"/>
      <c r="R26" s="125"/>
      <c r="S26" s="105"/>
      <c r="T26" s="205"/>
    </row>
    <row r="27" spans="1:20" x14ac:dyDescent="0.2">
      <c r="A27" s="254" t="s">
        <v>637</v>
      </c>
      <c r="B27" s="254" t="s">
        <v>157</v>
      </c>
      <c r="C27" s="254">
        <v>0.1719</v>
      </c>
      <c r="D27" s="254">
        <v>0.28129999999999999</v>
      </c>
      <c r="E27" s="254">
        <v>0.2039</v>
      </c>
      <c r="F27" s="256">
        <v>309.87</v>
      </c>
      <c r="G27" s="257">
        <v>787667248.40023267</v>
      </c>
      <c r="H27" s="257">
        <v>161170651.2778236</v>
      </c>
      <c r="I27" s="257">
        <v>1354</v>
      </c>
      <c r="J27" s="257">
        <v>782</v>
      </c>
      <c r="K27" s="257">
        <v>2136766.4605900687</v>
      </c>
      <c r="L27" s="257">
        <v>766.46059006871656</v>
      </c>
      <c r="M27" s="257">
        <v>766.46059006871656</v>
      </c>
      <c r="Q27" s="163"/>
      <c r="R27" s="125"/>
      <c r="S27" s="124"/>
      <c r="T27" s="205"/>
    </row>
    <row r="28" spans="1:20" x14ac:dyDescent="0.2">
      <c r="A28" s="254" t="s">
        <v>638</v>
      </c>
      <c r="B28" s="254" t="s">
        <v>479</v>
      </c>
      <c r="C28" s="254">
        <v>0.15459999999999999</v>
      </c>
      <c r="D28" s="254">
        <v>0.3175</v>
      </c>
      <c r="E28" s="254">
        <v>0.25459999999999999</v>
      </c>
      <c r="F28" s="256">
        <v>297.2</v>
      </c>
      <c r="G28" s="257">
        <v>1408796895.2134542</v>
      </c>
      <c r="H28" s="257">
        <v>427547631.53294873</v>
      </c>
      <c r="I28" s="257">
        <v>2178</v>
      </c>
      <c r="J28" s="257">
        <v>2446</v>
      </c>
      <c r="K28" s="257">
        <v>4357992.404687752</v>
      </c>
      <c r="L28" s="257">
        <v>-266007.59531224798</v>
      </c>
      <c r="M28" s="257">
        <v>0</v>
      </c>
      <c r="Q28" s="163"/>
      <c r="R28" s="125"/>
      <c r="S28" s="124"/>
      <c r="T28" s="205"/>
    </row>
    <row r="29" spans="1:20" x14ac:dyDescent="0.2">
      <c r="A29" s="254" t="s">
        <v>630</v>
      </c>
      <c r="B29" s="254" t="s">
        <v>305</v>
      </c>
      <c r="C29" s="254">
        <v>0.13320000000000001</v>
      </c>
      <c r="D29" s="254">
        <v>0.13320000000000001</v>
      </c>
      <c r="E29" s="254">
        <v>0.13320000000000001</v>
      </c>
      <c r="F29" s="256">
        <v>433.27</v>
      </c>
      <c r="G29" s="257">
        <v>1186186186.1861861</v>
      </c>
      <c r="H29" s="257">
        <v>195945945.94594595</v>
      </c>
      <c r="I29" s="257">
        <v>1580</v>
      </c>
      <c r="J29" s="257">
        <v>522</v>
      </c>
      <c r="K29" s="257">
        <v>3037800.3003003001</v>
      </c>
      <c r="L29" s="257">
        <v>935800.30030030012</v>
      </c>
      <c r="M29" s="257">
        <v>935800.30030030012</v>
      </c>
      <c r="Q29" s="163"/>
      <c r="R29" s="125"/>
      <c r="S29" s="124"/>
      <c r="T29" s="205"/>
    </row>
    <row r="30" spans="1:20" x14ac:dyDescent="0.2">
      <c r="A30" s="254" t="s">
        <v>638</v>
      </c>
      <c r="B30" s="254" t="s">
        <v>480</v>
      </c>
      <c r="C30" s="254">
        <v>0.13239999999999999</v>
      </c>
      <c r="D30" s="254">
        <v>0.22259999999999999</v>
      </c>
      <c r="E30" s="254">
        <v>0.1759</v>
      </c>
      <c r="F30" s="256">
        <v>257.10000000000002</v>
      </c>
      <c r="G30" s="257">
        <v>1156344410.876133</v>
      </c>
      <c r="H30" s="257">
        <v>194730238.39397743</v>
      </c>
      <c r="I30" s="257">
        <v>1531</v>
      </c>
      <c r="J30" s="257">
        <v>776</v>
      </c>
      <c r="K30" s="257">
        <v>2975674.408753369</v>
      </c>
      <c r="L30" s="257">
        <v>668674.408753369</v>
      </c>
      <c r="M30" s="257">
        <v>668674.408753369</v>
      </c>
      <c r="Q30" s="163"/>
      <c r="R30" s="125"/>
      <c r="S30" s="124"/>
      <c r="T30" s="205"/>
    </row>
    <row r="31" spans="1:20" x14ac:dyDescent="0.2">
      <c r="A31" s="254" t="s">
        <v>631</v>
      </c>
      <c r="B31" s="254" t="s">
        <v>639</v>
      </c>
      <c r="C31" s="254">
        <v>9.7199999999999995E-2</v>
      </c>
      <c r="D31" s="254">
        <v>0.1993</v>
      </c>
      <c r="E31" s="254">
        <v>0.16389999999999999</v>
      </c>
      <c r="F31" s="256">
        <v>222.07</v>
      </c>
      <c r="G31" s="257">
        <v>3526748971.1934156</v>
      </c>
      <c r="H31" s="257">
        <v>518447136.56387669</v>
      </c>
      <c r="I31" s="257">
        <v>3428</v>
      </c>
      <c r="J31" s="257">
        <v>1883</v>
      </c>
      <c r="K31" s="257">
        <v>8785013.2453182507</v>
      </c>
      <c r="L31" s="257">
        <v>3474013.2453182507</v>
      </c>
      <c r="M31" s="257">
        <v>3474013.2453182507</v>
      </c>
      <c r="Q31" s="163"/>
      <c r="R31" s="125"/>
      <c r="S31" s="124"/>
      <c r="T31" s="205"/>
    </row>
    <row r="32" spans="1:20" x14ac:dyDescent="0.2">
      <c r="A32" s="254" t="s">
        <v>629</v>
      </c>
      <c r="B32" s="254" t="s">
        <v>420</v>
      </c>
      <c r="C32" s="254">
        <v>0.1014</v>
      </c>
      <c r="D32" s="254">
        <v>0.16930000000000001</v>
      </c>
      <c r="E32" s="254">
        <v>0.13539999999999999</v>
      </c>
      <c r="F32" s="256">
        <v>291.68</v>
      </c>
      <c r="G32" s="257">
        <v>2152859960.552268</v>
      </c>
      <c r="H32" s="257">
        <v>520183787.33180183</v>
      </c>
      <c r="I32" s="257">
        <v>2183</v>
      </c>
      <c r="J32" s="257">
        <v>1585</v>
      </c>
      <c r="K32" s="257">
        <v>6146963.005290553</v>
      </c>
      <c r="L32" s="257">
        <v>2378963.005290553</v>
      </c>
      <c r="M32" s="257">
        <v>2378963.005290553</v>
      </c>
      <c r="Q32" s="163"/>
      <c r="R32" s="125"/>
      <c r="S32" s="124"/>
      <c r="T32" s="205"/>
    </row>
    <row r="33" spans="1:20" x14ac:dyDescent="0.2">
      <c r="A33" s="254" t="s">
        <v>638</v>
      </c>
      <c r="B33" s="254" t="s">
        <v>519</v>
      </c>
      <c r="C33" s="254">
        <v>0.12787000000000001</v>
      </c>
      <c r="D33" s="254">
        <v>0.21986</v>
      </c>
      <c r="E33" s="254">
        <v>0.1865</v>
      </c>
      <c r="F33" s="256">
        <v>265.54000000000002</v>
      </c>
      <c r="G33" s="257">
        <v>1150387111.9105341</v>
      </c>
      <c r="H33" s="257">
        <v>233044591.00305149</v>
      </c>
      <c r="I33" s="257">
        <v>1471</v>
      </c>
      <c r="J33" s="257">
        <v>947</v>
      </c>
      <c r="K33" s="257">
        <v>3111716.8657895266</v>
      </c>
      <c r="L33" s="257">
        <v>693716.86578952661</v>
      </c>
      <c r="M33" s="257">
        <v>693716.86578952661</v>
      </c>
      <c r="Q33" s="163"/>
      <c r="R33" s="125"/>
      <c r="S33" s="124"/>
      <c r="T33" s="205"/>
    </row>
    <row r="34" spans="1:20" x14ac:dyDescent="0.2">
      <c r="A34" s="254" t="s">
        <v>630</v>
      </c>
      <c r="B34" s="254" t="s">
        <v>520</v>
      </c>
      <c r="C34" s="254">
        <v>0.10349999999999999</v>
      </c>
      <c r="D34" s="254">
        <v>0.17</v>
      </c>
      <c r="E34" s="254">
        <v>0.1467</v>
      </c>
      <c r="F34" s="256">
        <v>386.9</v>
      </c>
      <c r="G34" s="257">
        <v>5521739130.434783</v>
      </c>
      <c r="H34" s="257">
        <v>786864540.57467639</v>
      </c>
      <c r="I34" s="257">
        <v>5715</v>
      </c>
      <c r="J34" s="257">
        <v>2492</v>
      </c>
      <c r="K34" s="257">
        <v>13658776.307299461</v>
      </c>
      <c r="L34" s="257">
        <v>5451776.3072994612</v>
      </c>
      <c r="M34" s="257">
        <v>5451776.3072994612</v>
      </c>
      <c r="Q34" s="163"/>
      <c r="R34" s="125"/>
      <c r="S34" s="124"/>
      <c r="T34" s="205"/>
    </row>
    <row r="35" spans="1:20" x14ac:dyDescent="0.2">
      <c r="A35" s="254" t="s">
        <v>629</v>
      </c>
      <c r="B35" s="254" t="s">
        <v>421</v>
      </c>
      <c r="C35" s="254">
        <v>0.10730000000000001</v>
      </c>
      <c r="D35" s="254">
        <v>0.26500000000000001</v>
      </c>
      <c r="E35" s="254">
        <v>0.22009999999999999</v>
      </c>
      <c r="F35" s="256">
        <v>222.38</v>
      </c>
      <c r="G35" s="257">
        <v>6177073625.3494864</v>
      </c>
      <c r="H35" s="257">
        <v>1759843331.2719028</v>
      </c>
      <c r="I35" s="257">
        <v>6628</v>
      </c>
      <c r="J35" s="257">
        <v>8537</v>
      </c>
      <c r="K35" s="257">
        <v>18666263.554194588</v>
      </c>
      <c r="L35" s="257">
        <v>3501263.5541945882</v>
      </c>
      <c r="M35" s="257">
        <v>3501263.5541945882</v>
      </c>
      <c r="Q35" s="163"/>
      <c r="R35" s="125"/>
      <c r="S35" s="124"/>
      <c r="T35" s="205"/>
    </row>
    <row r="36" spans="1:20" x14ac:dyDescent="0.2">
      <c r="A36" s="254" t="s">
        <v>631</v>
      </c>
      <c r="B36" s="254" t="s">
        <v>227</v>
      </c>
      <c r="C36" s="254">
        <v>0.12540000000000001</v>
      </c>
      <c r="D36" s="254">
        <v>0.1794</v>
      </c>
      <c r="E36" s="254">
        <v>0.14179999999999998</v>
      </c>
      <c r="F36" s="256">
        <v>265.20999999999998</v>
      </c>
      <c r="G36" s="257">
        <v>3962519936.2041464</v>
      </c>
      <c r="H36" s="257">
        <v>1067870485.6787049</v>
      </c>
      <c r="I36" s="257">
        <v>4969</v>
      </c>
      <c r="J36" s="257">
        <v>3430</v>
      </c>
      <c r="K36" s="257">
        <v>11739152.247055996</v>
      </c>
      <c r="L36" s="257">
        <v>3340152.2470559962</v>
      </c>
      <c r="M36" s="257">
        <v>3340152.2470559962</v>
      </c>
      <c r="Q36" s="163"/>
      <c r="R36" s="125"/>
      <c r="S36" s="124"/>
      <c r="T36" s="205"/>
    </row>
    <row r="37" spans="1:20" x14ac:dyDescent="0.2">
      <c r="A37" s="254" t="s">
        <v>629</v>
      </c>
      <c r="B37" s="254" t="s">
        <v>422</v>
      </c>
      <c r="C37" s="254">
        <v>0.13009999999999999</v>
      </c>
      <c r="D37" s="254">
        <v>0.27689999999999998</v>
      </c>
      <c r="E37" s="254">
        <v>0.2185</v>
      </c>
      <c r="F37" s="256">
        <v>349.87</v>
      </c>
      <c r="G37" s="257">
        <v>3285165257.4942355</v>
      </c>
      <c r="H37" s="257">
        <v>472749293.50020194</v>
      </c>
      <c r="I37" s="257">
        <v>4274</v>
      </c>
      <c r="J37" s="257">
        <v>2342</v>
      </c>
      <c r="K37" s="257">
        <v>8144027.9006521814</v>
      </c>
      <c r="L37" s="257">
        <v>1528027.9006521814</v>
      </c>
      <c r="M37" s="257">
        <v>1528027.9006521814</v>
      </c>
      <c r="Q37" s="163"/>
      <c r="R37" s="125"/>
      <c r="S37" s="124"/>
      <c r="T37" s="205"/>
    </row>
    <row r="38" spans="1:20" x14ac:dyDescent="0.2">
      <c r="A38" s="254" t="s">
        <v>629</v>
      </c>
      <c r="B38" s="254" t="s">
        <v>423</v>
      </c>
      <c r="C38" s="254">
        <v>9.5600000000000004E-2</v>
      </c>
      <c r="D38" s="254">
        <v>0.17330000000000001</v>
      </c>
      <c r="E38" s="254">
        <v>0.14069999999999999</v>
      </c>
      <c r="F38" s="256">
        <v>262.20999999999998</v>
      </c>
      <c r="G38" s="257">
        <v>3366108786.6108785</v>
      </c>
      <c r="H38" s="257">
        <v>729936305.7324841</v>
      </c>
      <c r="I38" s="257">
        <v>3218</v>
      </c>
      <c r="J38" s="257">
        <v>2292</v>
      </c>
      <c r="K38" s="257">
        <v>9290014.1912960056</v>
      </c>
      <c r="L38" s="257">
        <v>3780014.1912960056</v>
      </c>
      <c r="M38" s="257">
        <v>3780014.1912960056</v>
      </c>
      <c r="Q38" s="163"/>
      <c r="R38" s="125"/>
      <c r="S38" s="124"/>
      <c r="T38" s="205"/>
    </row>
    <row r="39" spans="1:20" x14ac:dyDescent="0.2">
      <c r="A39" s="254" t="s">
        <v>631</v>
      </c>
      <c r="B39" s="254" t="s">
        <v>228</v>
      </c>
      <c r="C39" s="254">
        <v>0.17280000000000001</v>
      </c>
      <c r="D39" s="254">
        <v>0.49359999999999998</v>
      </c>
      <c r="E39" s="254">
        <v>0.36980000000000002</v>
      </c>
      <c r="F39" s="256">
        <v>404.74</v>
      </c>
      <c r="G39" s="257">
        <v>2572337962.9629626</v>
      </c>
      <c r="H39" s="257">
        <v>347695158.67500579</v>
      </c>
      <c r="I39" s="257">
        <v>4445</v>
      </c>
      <c r="J39" s="257">
        <v>3002</v>
      </c>
      <c r="K39" s="257">
        <v>6290376.9396024756</v>
      </c>
      <c r="L39" s="257">
        <v>-1156623.0603975244</v>
      </c>
      <c r="M39" s="257">
        <v>0</v>
      </c>
      <c r="Q39" s="163"/>
      <c r="R39" s="125"/>
      <c r="S39" s="124"/>
      <c r="T39" s="205"/>
    </row>
    <row r="40" spans="1:20" x14ac:dyDescent="0.2">
      <c r="A40" s="254" t="s">
        <v>630</v>
      </c>
      <c r="B40" s="254" t="s">
        <v>306</v>
      </c>
      <c r="C40" s="254">
        <v>0.1171</v>
      </c>
      <c r="D40" s="254">
        <v>0.25390000000000001</v>
      </c>
      <c r="E40" s="254">
        <v>0.2127</v>
      </c>
      <c r="F40" s="256">
        <v>227.15</v>
      </c>
      <c r="G40" s="257">
        <v>3508112724.1673784</v>
      </c>
      <c r="H40" s="257">
        <v>1004929275.6108016</v>
      </c>
      <c r="I40" s="257">
        <v>4108</v>
      </c>
      <c r="J40" s="257">
        <v>4689</v>
      </c>
      <c r="K40" s="257">
        <v>10622094.70512379</v>
      </c>
      <c r="L40" s="257">
        <v>1825094.7051237896</v>
      </c>
      <c r="M40" s="257">
        <v>1825094.7051237896</v>
      </c>
      <c r="Q40" s="163"/>
      <c r="R40" s="125"/>
      <c r="S40" s="124"/>
      <c r="T40" s="205"/>
    </row>
    <row r="41" spans="1:20" x14ac:dyDescent="0.2">
      <c r="A41" s="254" t="s">
        <v>633</v>
      </c>
      <c r="B41" s="254" t="s">
        <v>350</v>
      </c>
      <c r="C41" s="254">
        <v>9.0999999999999998E-2</v>
      </c>
      <c r="D41" s="254">
        <v>0.24129999999999999</v>
      </c>
      <c r="E41" s="254">
        <v>0.21740000000000001</v>
      </c>
      <c r="F41" s="256">
        <v>219.25</v>
      </c>
      <c r="G41" s="257">
        <v>3040659340.6593409</v>
      </c>
      <c r="H41" s="257">
        <v>541748419.44626117</v>
      </c>
      <c r="I41" s="257">
        <v>2767</v>
      </c>
      <c r="J41" s="257">
        <v>2485</v>
      </c>
      <c r="K41" s="257">
        <v>7939000.6456373371</v>
      </c>
      <c r="L41" s="257">
        <v>2687000.6456373371</v>
      </c>
      <c r="M41" s="257">
        <v>2687000.6456373371</v>
      </c>
      <c r="Q41" s="163"/>
      <c r="R41" s="125"/>
      <c r="S41" s="124"/>
      <c r="T41" s="205"/>
    </row>
    <row r="42" spans="1:20" x14ac:dyDescent="0.2">
      <c r="A42" s="254" t="s">
        <v>629</v>
      </c>
      <c r="B42" s="254" t="s">
        <v>424</v>
      </c>
      <c r="C42" s="254">
        <v>9.5200000000000007E-2</v>
      </c>
      <c r="D42" s="254">
        <v>0.15870000000000001</v>
      </c>
      <c r="E42" s="254">
        <v>0.14249999999999999</v>
      </c>
      <c r="F42" s="256">
        <v>262.49</v>
      </c>
      <c r="G42" s="257">
        <v>2332983193.2773108</v>
      </c>
      <c r="H42" s="257">
        <v>598273572.37715793</v>
      </c>
      <c r="I42" s="257">
        <v>2221</v>
      </c>
      <c r="J42" s="257">
        <v>1802</v>
      </c>
      <c r="K42" s="257">
        <v>6794345.9007108808</v>
      </c>
      <c r="L42" s="257">
        <v>2771345.9007108808</v>
      </c>
      <c r="M42" s="257">
        <v>2771345.9007108808</v>
      </c>
      <c r="Q42" s="163"/>
      <c r="R42" s="125"/>
      <c r="S42" s="124"/>
      <c r="T42" s="205"/>
    </row>
    <row r="43" spans="1:20" x14ac:dyDescent="0.2">
      <c r="A43" s="254" t="s">
        <v>630</v>
      </c>
      <c r="B43" s="254" t="s">
        <v>307</v>
      </c>
      <c r="C43" s="254">
        <v>0.118326</v>
      </c>
      <c r="D43" s="254">
        <v>0.35931099999999999</v>
      </c>
      <c r="E43" s="254">
        <v>0.26864199999999999</v>
      </c>
      <c r="F43" s="256">
        <v>678.58</v>
      </c>
      <c r="G43" s="257">
        <v>2803272315.4674373</v>
      </c>
      <c r="H43" s="257">
        <v>135678944.12479913</v>
      </c>
      <c r="I43" s="257">
        <v>3317</v>
      </c>
      <c r="J43" s="257">
        <v>852</v>
      </c>
      <c r="K43" s="257">
        <v>5918663.1421552934</v>
      </c>
      <c r="L43" s="257">
        <v>1749663.1421552934</v>
      </c>
      <c r="M43" s="257">
        <v>1749663.1421552934</v>
      </c>
      <c r="Q43" s="163"/>
      <c r="R43" s="125"/>
      <c r="S43" s="124"/>
      <c r="T43" s="205"/>
    </row>
    <row r="44" spans="1:20" x14ac:dyDescent="0.2">
      <c r="A44" s="254" t="s">
        <v>630</v>
      </c>
      <c r="B44" s="254" t="s">
        <v>308</v>
      </c>
      <c r="C44" s="254">
        <v>0.10539999999999999</v>
      </c>
      <c r="D44" s="254">
        <v>0.2913</v>
      </c>
      <c r="E44" s="254">
        <v>0.19570000000000001</v>
      </c>
      <c r="F44" s="256">
        <v>671.81</v>
      </c>
      <c r="G44" s="257">
        <v>6167931688.804554</v>
      </c>
      <c r="H44" s="257">
        <v>259137577.00205338</v>
      </c>
      <c r="I44" s="257">
        <v>6501</v>
      </c>
      <c r="J44" s="257">
        <v>1262</v>
      </c>
      <c r="K44" s="257">
        <v>12870948.172406672</v>
      </c>
      <c r="L44" s="257">
        <v>5107948.1724066716</v>
      </c>
      <c r="M44" s="257">
        <v>5107948.1724066716</v>
      </c>
      <c r="Q44" s="163"/>
      <c r="R44" s="125"/>
      <c r="S44" s="124"/>
      <c r="T44" s="205"/>
    </row>
    <row r="45" spans="1:20" x14ac:dyDescent="0.2">
      <c r="A45" s="254" t="s">
        <v>633</v>
      </c>
      <c r="B45" s="254" t="s">
        <v>351</v>
      </c>
      <c r="C45" s="254">
        <v>0.14849999999999999</v>
      </c>
      <c r="D45" s="254">
        <v>0.2651</v>
      </c>
      <c r="E45" s="254">
        <v>0.20480000000000001</v>
      </c>
      <c r="F45" s="256">
        <v>418.13</v>
      </c>
      <c r="G45" s="257">
        <v>3942087542.0875421</v>
      </c>
      <c r="H45" s="257">
        <v>689295594.80740583</v>
      </c>
      <c r="I45" s="257">
        <v>5854</v>
      </c>
      <c r="J45" s="257">
        <v>3239</v>
      </c>
      <c r="K45" s="257">
        <v>10242306.55852703</v>
      </c>
      <c r="L45" s="257">
        <v>1149306.5585270301</v>
      </c>
      <c r="M45" s="257">
        <v>1149306.5585270301</v>
      </c>
      <c r="Q45" s="163"/>
      <c r="R45" s="125"/>
      <c r="S45" s="124"/>
      <c r="T45" s="205"/>
    </row>
    <row r="46" spans="1:20" x14ac:dyDescent="0.2">
      <c r="A46" s="254" t="s">
        <v>629</v>
      </c>
      <c r="B46" s="254" t="s">
        <v>425</v>
      </c>
      <c r="C46" s="254">
        <v>0.14634</v>
      </c>
      <c r="D46" s="254">
        <v>0.245</v>
      </c>
      <c r="E46" s="254">
        <v>0.21462000000000001</v>
      </c>
      <c r="F46" s="256">
        <v>384.71</v>
      </c>
      <c r="G46" s="257">
        <v>1009976766.4343311</v>
      </c>
      <c r="H46" s="257">
        <v>253252687.00230625</v>
      </c>
      <c r="I46" s="257">
        <v>1478</v>
      </c>
      <c r="J46" s="257">
        <v>1164</v>
      </c>
      <c r="K46" s="257">
        <v>2919228.1203449667</v>
      </c>
      <c r="L46" s="257">
        <v>277228.12034496665</v>
      </c>
      <c r="M46" s="257">
        <v>277228.12034496665</v>
      </c>
      <c r="Q46" s="163"/>
      <c r="R46" s="125"/>
      <c r="S46" s="124"/>
      <c r="T46" s="205"/>
    </row>
    <row r="47" spans="1:20" x14ac:dyDescent="0.2">
      <c r="A47" s="254" t="s">
        <v>628</v>
      </c>
      <c r="B47" s="254" t="s">
        <v>145</v>
      </c>
      <c r="C47" s="254">
        <v>0.21829999999999999</v>
      </c>
      <c r="D47" s="254">
        <v>0.21829999999999999</v>
      </c>
      <c r="E47" s="254">
        <v>0.1525</v>
      </c>
      <c r="F47" s="256">
        <v>397.69</v>
      </c>
      <c r="G47" s="257">
        <v>1972056802.5652771</v>
      </c>
      <c r="H47" s="257">
        <v>453883495.14563102</v>
      </c>
      <c r="I47" s="257">
        <v>4305</v>
      </c>
      <c r="J47" s="257">
        <v>1683</v>
      </c>
      <c r="K47" s="257">
        <v>5543660.8012488382</v>
      </c>
      <c r="L47" s="257">
        <v>-444339.19875116181</v>
      </c>
      <c r="M47" s="257">
        <v>0</v>
      </c>
      <c r="Q47" s="163"/>
      <c r="R47" s="125"/>
      <c r="S47" s="124"/>
      <c r="T47" s="205"/>
    </row>
    <row r="48" spans="1:20" x14ac:dyDescent="0.2">
      <c r="A48" s="254" t="s">
        <v>634</v>
      </c>
      <c r="B48" s="254" t="s">
        <v>200</v>
      </c>
      <c r="C48" s="254">
        <v>0.16139999999999999</v>
      </c>
      <c r="D48" s="254">
        <v>0.32340000000000002</v>
      </c>
      <c r="E48" s="254">
        <v>0.25850000000000001</v>
      </c>
      <c r="F48" s="256">
        <v>357.57</v>
      </c>
      <c r="G48" s="257">
        <v>2130111524.1635687</v>
      </c>
      <c r="H48" s="257">
        <v>320501804.43375146</v>
      </c>
      <c r="I48" s="257">
        <v>3438</v>
      </c>
      <c r="J48" s="257">
        <v>1865</v>
      </c>
      <c r="K48" s="257">
        <v>5334396.6310848128</v>
      </c>
      <c r="L48" s="257">
        <v>31396.631084812805</v>
      </c>
      <c r="M48" s="257">
        <v>31396.631084812805</v>
      </c>
      <c r="Q48" s="163"/>
      <c r="R48" s="125"/>
      <c r="S48" s="124"/>
      <c r="T48" s="205"/>
    </row>
    <row r="49" spans="1:20" x14ac:dyDescent="0.2">
      <c r="A49" s="254" t="s">
        <v>640</v>
      </c>
      <c r="B49" s="254" t="s">
        <v>403</v>
      </c>
      <c r="C49" s="254">
        <v>0.1263</v>
      </c>
      <c r="D49" s="254">
        <v>0.23780000000000001</v>
      </c>
      <c r="E49" s="254">
        <v>0.20960000000000001</v>
      </c>
      <c r="F49" s="256">
        <v>268.19</v>
      </c>
      <c r="G49" s="257">
        <v>2037212984.9564528</v>
      </c>
      <c r="H49" s="257">
        <v>1248547161.3768439</v>
      </c>
      <c r="I49" s="257">
        <v>2573</v>
      </c>
      <c r="J49" s="257">
        <v>5586</v>
      </c>
      <c r="K49" s="257">
        <v>8728541.5673420206</v>
      </c>
      <c r="L49" s="257">
        <v>569541.56734202057</v>
      </c>
      <c r="M49" s="257">
        <v>569541.56734202057</v>
      </c>
      <c r="Q49" s="163"/>
      <c r="R49" s="125"/>
      <c r="S49" s="124"/>
      <c r="T49" s="205"/>
    </row>
    <row r="50" spans="1:20" x14ac:dyDescent="0.2">
      <c r="A50" s="254" t="s">
        <v>629</v>
      </c>
      <c r="B50" s="254" t="s">
        <v>426</v>
      </c>
      <c r="C50" s="254">
        <v>0.1162</v>
      </c>
      <c r="D50" s="254">
        <v>0.22689999999999999</v>
      </c>
      <c r="E50" s="254">
        <v>0.1779</v>
      </c>
      <c r="F50" s="256">
        <v>281.11</v>
      </c>
      <c r="G50" s="257">
        <v>2907917383.8209982</v>
      </c>
      <c r="H50" s="257">
        <v>755434782.60869575</v>
      </c>
      <c r="I50" s="257">
        <v>3379</v>
      </c>
      <c r="J50" s="257">
        <v>3058</v>
      </c>
      <c r="K50" s="257">
        <v>8506164.8768988997</v>
      </c>
      <c r="L50" s="257">
        <v>2069164.8768988997</v>
      </c>
      <c r="M50" s="257">
        <v>2069164.8768988997</v>
      </c>
      <c r="Q50" s="163"/>
      <c r="R50" s="125"/>
      <c r="S50" s="124"/>
      <c r="T50" s="205"/>
    </row>
    <row r="51" spans="1:20" x14ac:dyDescent="0.2">
      <c r="A51" s="254" t="s">
        <v>629</v>
      </c>
      <c r="B51" s="254" t="s">
        <v>427</v>
      </c>
      <c r="C51" s="254">
        <v>0.12959999999999999</v>
      </c>
      <c r="D51" s="254">
        <v>0.2752</v>
      </c>
      <c r="E51" s="254">
        <v>0.22009999999999999</v>
      </c>
      <c r="F51" s="256">
        <v>314.83</v>
      </c>
      <c r="G51" s="257">
        <v>3170524691.3580251</v>
      </c>
      <c r="H51" s="257">
        <v>677367252.17040181</v>
      </c>
      <c r="I51" s="257">
        <v>4109</v>
      </c>
      <c r="J51" s="257">
        <v>3355</v>
      </c>
      <c r="K51" s="257">
        <v>8711123.9517202452</v>
      </c>
      <c r="L51" s="257">
        <v>1247123.9517202452</v>
      </c>
      <c r="M51" s="257">
        <v>1247123.9517202452</v>
      </c>
      <c r="Q51" s="163"/>
      <c r="R51" s="125"/>
      <c r="S51" s="124"/>
      <c r="T51" s="205"/>
    </row>
    <row r="52" spans="1:20" x14ac:dyDescent="0.2">
      <c r="A52" s="254" t="s">
        <v>629</v>
      </c>
      <c r="B52" s="254" t="s">
        <v>428</v>
      </c>
      <c r="C52" s="254">
        <v>9.1600000000000001E-2</v>
      </c>
      <c r="D52" s="254">
        <v>0.2243</v>
      </c>
      <c r="E52" s="254">
        <v>0.17879999999999999</v>
      </c>
      <c r="F52" s="256">
        <v>230.76</v>
      </c>
      <c r="G52" s="257">
        <v>20813318777.292576</v>
      </c>
      <c r="H52" s="257">
        <v>3914909451.7489457</v>
      </c>
      <c r="I52" s="257">
        <v>19065</v>
      </c>
      <c r="J52" s="257">
        <v>15781</v>
      </c>
      <c r="K52" s="257">
        <v>55138040.035521649</v>
      </c>
      <c r="L52" s="257">
        <v>20292040.035521649</v>
      </c>
      <c r="M52" s="257">
        <v>20292040.035521649</v>
      </c>
      <c r="Q52" s="163"/>
      <c r="R52" s="125"/>
      <c r="S52" s="124"/>
      <c r="T52" s="205"/>
    </row>
    <row r="53" spans="1:20" x14ac:dyDescent="0.2">
      <c r="A53" s="254" t="s">
        <v>633</v>
      </c>
      <c r="B53" s="254" t="s">
        <v>352</v>
      </c>
      <c r="C53" s="254">
        <v>0.10290000000000001</v>
      </c>
      <c r="D53" s="254">
        <v>0.12479999999999999</v>
      </c>
      <c r="E53" s="254">
        <v>0.1032</v>
      </c>
      <c r="F53" s="256">
        <v>232.11</v>
      </c>
      <c r="G53" s="257">
        <v>1753158406.2196307</v>
      </c>
      <c r="H53" s="257">
        <v>345175438.59649122</v>
      </c>
      <c r="I53" s="257">
        <v>1804</v>
      </c>
      <c r="J53" s="257">
        <v>787</v>
      </c>
      <c r="K53" s="257">
        <v>4703755.3705692803</v>
      </c>
      <c r="L53" s="257">
        <v>2112755.3705692803</v>
      </c>
      <c r="M53" s="257">
        <v>2112755.3705692803</v>
      </c>
      <c r="Q53" s="163"/>
      <c r="R53" s="125"/>
      <c r="S53" s="124"/>
      <c r="T53" s="205"/>
    </row>
    <row r="54" spans="1:20" x14ac:dyDescent="0.2">
      <c r="A54" s="254" t="s">
        <v>631</v>
      </c>
      <c r="B54" s="254" t="s">
        <v>229</v>
      </c>
      <c r="C54" s="254">
        <v>0.12509999999999999</v>
      </c>
      <c r="D54" s="254">
        <v>0.2051</v>
      </c>
      <c r="E54" s="254">
        <v>0.15709999999999999</v>
      </c>
      <c r="F54" s="256">
        <v>318.37</v>
      </c>
      <c r="G54" s="257">
        <v>3870503597.1223025</v>
      </c>
      <c r="H54" s="257">
        <v>770844837.10657096</v>
      </c>
      <c r="I54" s="257">
        <v>4842</v>
      </c>
      <c r="J54" s="257">
        <v>2792</v>
      </c>
      <c r="K54" s="257">
        <v>10418472.047320731</v>
      </c>
      <c r="L54" s="257">
        <v>2784472.047320731</v>
      </c>
      <c r="M54" s="257">
        <v>2784472.047320731</v>
      </c>
      <c r="Q54" s="163"/>
      <c r="R54" s="125"/>
      <c r="S54" s="124"/>
      <c r="T54" s="205"/>
    </row>
    <row r="55" spans="1:20" x14ac:dyDescent="0.2">
      <c r="A55" s="254" t="s">
        <v>631</v>
      </c>
      <c r="B55" s="254" t="s">
        <v>230</v>
      </c>
      <c r="C55" s="254">
        <v>0.105</v>
      </c>
      <c r="D55" s="254">
        <v>0.219</v>
      </c>
      <c r="E55" s="254">
        <v>0.17499999999999999</v>
      </c>
      <c r="F55" s="256">
        <v>253.75</v>
      </c>
      <c r="G55" s="257">
        <v>2206666666.666667</v>
      </c>
      <c r="H55" s="257">
        <v>365989847.71573603</v>
      </c>
      <c r="I55" s="257">
        <v>2317</v>
      </c>
      <c r="J55" s="257">
        <v>1442</v>
      </c>
      <c r="K55" s="257">
        <v>5656894.2470389176</v>
      </c>
      <c r="L55" s="257">
        <v>1897894.2470389176</v>
      </c>
      <c r="M55" s="257">
        <v>1897894.2470389176</v>
      </c>
      <c r="Q55" s="163"/>
      <c r="R55" s="125"/>
      <c r="S55" s="124"/>
      <c r="T55" s="205"/>
    </row>
    <row r="56" spans="1:20" x14ac:dyDescent="0.2">
      <c r="A56" s="254" t="s">
        <v>638</v>
      </c>
      <c r="B56" s="254" t="s">
        <v>481</v>
      </c>
      <c r="C56" s="254">
        <v>0.1646</v>
      </c>
      <c r="D56" s="254">
        <v>0.26979999999999998</v>
      </c>
      <c r="E56" s="254">
        <v>0.22320000000000001</v>
      </c>
      <c r="F56" s="256">
        <v>232.14</v>
      </c>
      <c r="G56" s="257">
        <v>2042527339.0036454</v>
      </c>
      <c r="H56" s="257">
        <v>294726166.32860041</v>
      </c>
      <c r="I56" s="257">
        <v>3362</v>
      </c>
      <c r="J56" s="257">
        <v>1453</v>
      </c>
      <c r="K56" s="257">
        <v>5066560.8679471286</v>
      </c>
      <c r="L56" s="257">
        <v>251560.8679471286</v>
      </c>
      <c r="M56" s="257">
        <v>251560.8679471286</v>
      </c>
      <c r="Q56" s="163"/>
      <c r="R56" s="125"/>
      <c r="S56" s="124"/>
      <c r="T56" s="205"/>
    </row>
    <row r="57" spans="1:20" x14ac:dyDescent="0.2">
      <c r="A57" s="254" t="s">
        <v>636</v>
      </c>
      <c r="B57" s="254" t="s">
        <v>278</v>
      </c>
      <c r="C57" s="254">
        <v>0.16209999999999999</v>
      </c>
      <c r="D57" s="254">
        <v>0.30559999999999998</v>
      </c>
      <c r="E57" s="254">
        <v>0.24440000000000001</v>
      </c>
      <c r="F57" s="256">
        <v>508.98</v>
      </c>
      <c r="G57" s="257">
        <v>1959284392.3504009</v>
      </c>
      <c r="H57" s="257">
        <v>302545454.5454545</v>
      </c>
      <c r="I57" s="257">
        <v>3176</v>
      </c>
      <c r="J57" s="257">
        <v>1664</v>
      </c>
      <c r="K57" s="257">
        <v>4936422.4552745214</v>
      </c>
      <c r="L57" s="257">
        <v>96422.455274521373</v>
      </c>
      <c r="M57" s="257">
        <v>96422.455274521373</v>
      </c>
      <c r="Q57" s="163"/>
      <c r="R57" s="125"/>
      <c r="S57" s="124"/>
      <c r="T57" s="205"/>
    </row>
    <row r="58" spans="1:20" x14ac:dyDescent="0.2">
      <c r="A58" s="254" t="s">
        <v>636</v>
      </c>
      <c r="B58" s="254" t="s">
        <v>279</v>
      </c>
      <c r="C58" s="254">
        <v>0.1011</v>
      </c>
      <c r="D58" s="254">
        <v>0.17810000000000001</v>
      </c>
      <c r="E58" s="254">
        <v>0.14249999999999999</v>
      </c>
      <c r="F58" s="256">
        <v>279.72000000000003</v>
      </c>
      <c r="G58" s="257">
        <v>2184965380.8110781</v>
      </c>
      <c r="H58" s="257">
        <v>513100436.68122268</v>
      </c>
      <c r="I58" s="257">
        <v>2209</v>
      </c>
      <c r="J58" s="257">
        <v>1645</v>
      </c>
      <c r="K58" s="257">
        <v>6181495.0392840328</v>
      </c>
      <c r="L58" s="257">
        <v>2327495.0392840328</v>
      </c>
      <c r="M58" s="257">
        <v>2327495.0392840328</v>
      </c>
      <c r="Q58" s="163"/>
      <c r="R58" s="125"/>
      <c r="S58" s="124"/>
      <c r="T58" s="205"/>
    </row>
    <row r="59" spans="1:20" x14ac:dyDescent="0.2">
      <c r="A59" s="254" t="s">
        <v>631</v>
      </c>
      <c r="B59" s="254" t="s">
        <v>231</v>
      </c>
      <c r="C59" s="254">
        <v>0.1313</v>
      </c>
      <c r="D59" s="254">
        <v>0.23849999999999999</v>
      </c>
      <c r="E59" s="254">
        <v>0.1832</v>
      </c>
      <c r="F59" s="256">
        <v>376.69</v>
      </c>
      <c r="G59" s="257">
        <v>2892612338.1568928</v>
      </c>
      <c r="H59" s="257">
        <v>406212947.59307569</v>
      </c>
      <c r="I59" s="257">
        <v>3798</v>
      </c>
      <c r="J59" s="257">
        <v>1713</v>
      </c>
      <c r="K59" s="257">
        <v>7132198.5991853597</v>
      </c>
      <c r="L59" s="257">
        <v>1621198.5991853597</v>
      </c>
      <c r="M59" s="257">
        <v>1621198.5991853597</v>
      </c>
      <c r="Q59" s="163"/>
      <c r="R59" s="125"/>
      <c r="S59" s="124"/>
      <c r="T59" s="205"/>
    </row>
    <row r="60" spans="1:20" x14ac:dyDescent="0.2">
      <c r="A60" s="254" t="s">
        <v>633</v>
      </c>
      <c r="B60" s="254" t="s">
        <v>353</v>
      </c>
      <c r="C60" s="254">
        <v>0.1157</v>
      </c>
      <c r="D60" s="254">
        <v>0.27150000000000002</v>
      </c>
      <c r="E60" s="254">
        <v>0.22600000000000001</v>
      </c>
      <c r="F60" s="256">
        <v>217.27</v>
      </c>
      <c r="G60" s="257">
        <v>5782195332.7571306</v>
      </c>
      <c r="H60" s="257">
        <v>1108743718.5929646</v>
      </c>
      <c r="I60" s="257">
        <v>6690</v>
      </c>
      <c r="J60" s="257">
        <v>5516</v>
      </c>
      <c r="K60" s="257">
        <v>15399389.332140392</v>
      </c>
      <c r="L60" s="257">
        <v>3193389.3321403917</v>
      </c>
      <c r="M60" s="257">
        <v>3193389.3321403917</v>
      </c>
      <c r="Q60" s="163"/>
      <c r="R60" s="125"/>
      <c r="S60" s="124"/>
      <c r="T60" s="205"/>
    </row>
    <row r="61" spans="1:20" x14ac:dyDescent="0.2">
      <c r="A61" s="254" t="s">
        <v>630</v>
      </c>
      <c r="B61" s="254" t="s">
        <v>309</v>
      </c>
      <c r="C61" s="254">
        <v>0.1026</v>
      </c>
      <c r="D61" s="254">
        <v>0.2288</v>
      </c>
      <c r="E61" s="254">
        <v>0.2165</v>
      </c>
      <c r="F61" s="256">
        <v>286.82</v>
      </c>
      <c r="G61" s="257">
        <v>4408382066.276803</v>
      </c>
      <c r="H61" s="257">
        <v>398832247.92274868</v>
      </c>
      <c r="I61" s="257">
        <v>4523</v>
      </c>
      <c r="J61" s="257">
        <v>1776</v>
      </c>
      <c r="K61" s="257">
        <v>10021639.632085428</v>
      </c>
      <c r="L61" s="257">
        <v>3722639.6320854276</v>
      </c>
      <c r="M61" s="257">
        <v>3722639.6320854276</v>
      </c>
      <c r="Q61" s="163"/>
      <c r="R61" s="125"/>
      <c r="S61" s="124"/>
      <c r="T61" s="205"/>
    </row>
    <row r="62" spans="1:20" x14ac:dyDescent="0.2">
      <c r="A62" s="254" t="s">
        <v>628</v>
      </c>
      <c r="B62" s="254" t="s">
        <v>146</v>
      </c>
      <c r="C62" s="254">
        <v>0.18909999999999999</v>
      </c>
      <c r="D62" s="254">
        <v>0.18909999999999999</v>
      </c>
      <c r="E62" s="254">
        <v>0.15759999999999999</v>
      </c>
      <c r="F62" s="256">
        <v>362.62</v>
      </c>
      <c r="G62" s="257">
        <v>2880486515.0713911</v>
      </c>
      <c r="H62" s="257">
        <v>901355638.88087678</v>
      </c>
      <c r="I62" s="257">
        <v>5447</v>
      </c>
      <c r="J62" s="257">
        <v>3125</v>
      </c>
      <c r="K62" s="257">
        <v>9015155.7512038033</v>
      </c>
      <c r="L62" s="257">
        <v>443155.75120380335</v>
      </c>
      <c r="M62" s="257">
        <v>443155.75120380335</v>
      </c>
      <c r="Q62" s="163"/>
      <c r="R62" s="125"/>
      <c r="S62" s="124"/>
      <c r="T62" s="205"/>
    </row>
    <row r="63" spans="1:20" x14ac:dyDescent="0.2">
      <c r="A63" s="254" t="s">
        <v>629</v>
      </c>
      <c r="B63" s="254" t="s">
        <v>429</v>
      </c>
      <c r="C63" s="254">
        <v>0.1298</v>
      </c>
      <c r="D63" s="254">
        <v>0.25</v>
      </c>
      <c r="E63" s="254">
        <v>0.1986</v>
      </c>
      <c r="F63" s="256">
        <v>317.57</v>
      </c>
      <c r="G63" s="257">
        <v>2118644067.7966104</v>
      </c>
      <c r="H63" s="257">
        <v>520062416.40659827</v>
      </c>
      <c r="I63" s="257">
        <v>2750</v>
      </c>
      <c r="J63" s="257">
        <v>2333</v>
      </c>
      <c r="K63" s="257">
        <v>6080630.1336738784</v>
      </c>
      <c r="L63" s="257">
        <v>997630.13367387839</v>
      </c>
      <c r="M63" s="257">
        <v>997630.13367387839</v>
      </c>
      <c r="Q63" s="163"/>
      <c r="R63" s="125"/>
      <c r="S63" s="124"/>
      <c r="T63" s="205"/>
    </row>
    <row r="64" spans="1:20" x14ac:dyDescent="0.2">
      <c r="A64" s="254" t="s">
        <v>633</v>
      </c>
      <c r="B64" s="254" t="s">
        <v>354</v>
      </c>
      <c r="C64" s="254">
        <v>0.1178</v>
      </c>
      <c r="D64" s="254">
        <v>0.27860000000000001</v>
      </c>
      <c r="E64" s="254">
        <v>0.22239999999999999</v>
      </c>
      <c r="F64" s="256">
        <v>283.13</v>
      </c>
      <c r="G64" s="257">
        <v>1320033955.8573854</v>
      </c>
      <c r="H64" s="257">
        <v>262075848.30339321</v>
      </c>
      <c r="I64" s="257">
        <v>1555</v>
      </c>
      <c r="J64" s="257">
        <v>1313</v>
      </c>
      <c r="K64" s="257">
        <v>3550057.3809935306</v>
      </c>
      <c r="L64" s="257">
        <v>682057.38099353062</v>
      </c>
      <c r="M64" s="257">
        <v>682057.38099353062</v>
      </c>
      <c r="Q64" s="163"/>
      <c r="R64" s="125"/>
      <c r="S64" s="124"/>
      <c r="T64" s="205"/>
    </row>
    <row r="65" spans="1:20" x14ac:dyDescent="0.2">
      <c r="A65" s="254" t="s">
        <v>629</v>
      </c>
      <c r="B65" s="254" t="s">
        <v>430</v>
      </c>
      <c r="C65" s="254">
        <v>0.1217</v>
      </c>
      <c r="D65" s="254">
        <v>0.26090000000000002</v>
      </c>
      <c r="E65" s="254">
        <v>0.1951</v>
      </c>
      <c r="F65" s="256">
        <v>258.97000000000003</v>
      </c>
      <c r="G65" s="257">
        <v>2275267050.1232538</v>
      </c>
      <c r="H65" s="257">
        <v>542324561.40350878</v>
      </c>
      <c r="I65" s="257">
        <v>2769</v>
      </c>
      <c r="J65" s="257">
        <v>2473</v>
      </c>
      <c r="K65" s="257">
        <v>6467838.6328907721</v>
      </c>
      <c r="L65" s="257">
        <v>1225838.6328907721</v>
      </c>
      <c r="M65" s="257">
        <v>1225838.6328907721</v>
      </c>
      <c r="Q65" s="163"/>
      <c r="R65" s="125"/>
      <c r="S65" s="124"/>
      <c r="T65" s="205"/>
    </row>
    <row r="66" spans="1:20" x14ac:dyDescent="0.2">
      <c r="A66" s="254" t="s">
        <v>631</v>
      </c>
      <c r="B66" s="254" t="s">
        <v>232</v>
      </c>
      <c r="C66" s="254">
        <v>0.12740000000000001</v>
      </c>
      <c r="D66" s="254">
        <v>0.28260000000000002</v>
      </c>
      <c r="E66" s="254">
        <v>0.29699999999999999</v>
      </c>
      <c r="F66" s="256">
        <v>282.61</v>
      </c>
      <c r="G66" s="257">
        <v>2664835164.8351645</v>
      </c>
      <c r="H66" s="257">
        <v>461870255.34851623</v>
      </c>
      <c r="I66" s="257">
        <v>3395</v>
      </c>
      <c r="J66" s="257">
        <v>2677</v>
      </c>
      <c r="K66" s="257">
        <v>6908008.1753994795</v>
      </c>
      <c r="L66" s="257">
        <v>836008.17539947946</v>
      </c>
      <c r="M66" s="257">
        <v>836008.17539947946</v>
      </c>
      <c r="Q66" s="163"/>
      <c r="R66" s="125"/>
      <c r="S66" s="124"/>
      <c r="T66" s="205"/>
    </row>
    <row r="67" spans="1:20" x14ac:dyDescent="0.2">
      <c r="A67" s="254" t="s">
        <v>634</v>
      </c>
      <c r="B67" s="254" t="s">
        <v>201</v>
      </c>
      <c r="C67" s="254">
        <v>0.11070000000000001</v>
      </c>
      <c r="D67" s="254">
        <v>0.16839999999999999</v>
      </c>
      <c r="E67" s="254">
        <v>0.16439999999999999</v>
      </c>
      <c r="F67" s="256">
        <v>302.22000000000003</v>
      </c>
      <c r="G67" s="257">
        <v>3026196928.6359525</v>
      </c>
      <c r="H67" s="257">
        <v>672475961.53846157</v>
      </c>
      <c r="I67" s="257">
        <v>3350</v>
      </c>
      <c r="J67" s="257">
        <v>2238</v>
      </c>
      <c r="K67" s="257">
        <v>8414461.5395472869</v>
      </c>
      <c r="L67" s="257">
        <v>2826461.5395472869</v>
      </c>
      <c r="M67" s="257">
        <v>2826461.5395472869</v>
      </c>
      <c r="Q67" s="163"/>
      <c r="R67" s="125"/>
      <c r="S67" s="124"/>
      <c r="T67" s="205"/>
    </row>
    <row r="68" spans="1:20" x14ac:dyDescent="0.2">
      <c r="A68" s="254" t="s">
        <v>632</v>
      </c>
      <c r="B68" s="254" t="s">
        <v>181</v>
      </c>
      <c r="C68" s="254">
        <v>0.14499999999999999</v>
      </c>
      <c r="D68" s="254">
        <v>0.21149999999999999</v>
      </c>
      <c r="E68" s="254">
        <v>0.16450000000000001</v>
      </c>
      <c r="F68" s="256">
        <v>252.66</v>
      </c>
      <c r="G68" s="257">
        <v>1320689655.1724138</v>
      </c>
      <c r="H68" s="257">
        <v>240957446.80851063</v>
      </c>
      <c r="I68" s="257">
        <v>1915</v>
      </c>
      <c r="J68" s="257">
        <v>906</v>
      </c>
      <c r="K68" s="257">
        <v>3470013.7564196624</v>
      </c>
      <c r="L68" s="257">
        <v>649013.75641966239</v>
      </c>
      <c r="M68" s="257">
        <v>649013.75641966239</v>
      </c>
      <c r="Q68" s="163"/>
      <c r="R68" s="125"/>
      <c r="S68" s="124"/>
      <c r="T68" s="205"/>
    </row>
    <row r="69" spans="1:20" x14ac:dyDescent="0.2">
      <c r="A69" s="254" t="s">
        <v>636</v>
      </c>
      <c r="B69" s="254" t="s">
        <v>280</v>
      </c>
      <c r="C69" s="254">
        <v>0.11310000000000001</v>
      </c>
      <c r="D69" s="254">
        <v>0.2646</v>
      </c>
      <c r="E69" s="254">
        <v>0.2117</v>
      </c>
      <c r="F69" s="256">
        <v>403.85</v>
      </c>
      <c r="G69" s="257">
        <v>6764809902.7409372</v>
      </c>
      <c r="H69" s="257">
        <v>706277556.16208279</v>
      </c>
      <c r="I69" s="257">
        <v>7651</v>
      </c>
      <c r="J69" s="257">
        <v>3364</v>
      </c>
      <c r="K69" s="257">
        <v>15741427.654000323</v>
      </c>
      <c r="L69" s="257">
        <v>4726427.6540003233</v>
      </c>
      <c r="M69" s="257">
        <v>4726427.6540003233</v>
      </c>
      <c r="Q69" s="163"/>
      <c r="R69" s="125"/>
      <c r="S69" s="124"/>
      <c r="T69" s="205"/>
    </row>
    <row r="70" spans="1:20" x14ac:dyDescent="0.2">
      <c r="A70" s="254" t="s">
        <v>632</v>
      </c>
      <c r="B70" s="254" t="s">
        <v>641</v>
      </c>
      <c r="C70" s="254">
        <v>0.12809999999999999</v>
      </c>
      <c r="D70" s="254">
        <v>0.24149999999999999</v>
      </c>
      <c r="E70" s="254">
        <v>0.18160000000000001</v>
      </c>
      <c r="F70" s="256">
        <v>263.27999999999997</v>
      </c>
      <c r="G70" s="257">
        <v>4902419984.3871975</v>
      </c>
      <c r="H70" s="257">
        <v>1050342708.5795319</v>
      </c>
      <c r="I70" s="257">
        <v>6280</v>
      </c>
      <c r="J70" s="257">
        <v>4444</v>
      </c>
      <c r="K70" s="257">
        <v>13480977.897976555</v>
      </c>
      <c r="L70" s="257">
        <v>2756977.8979765549</v>
      </c>
      <c r="M70" s="257">
        <v>2756977.8979765549</v>
      </c>
      <c r="Q70" s="163"/>
      <c r="R70" s="125"/>
      <c r="S70" s="124"/>
      <c r="T70" s="205"/>
    </row>
    <row r="71" spans="1:20" x14ac:dyDescent="0.2">
      <c r="A71" s="254" t="s">
        <v>637</v>
      </c>
      <c r="B71" s="254" t="s">
        <v>159</v>
      </c>
      <c r="C71" s="254">
        <v>0.20280000000000001</v>
      </c>
      <c r="D71" s="254">
        <v>0.32279999999999998</v>
      </c>
      <c r="E71" s="254">
        <v>0.26740000000000003</v>
      </c>
      <c r="F71" s="256">
        <v>282.45999999999998</v>
      </c>
      <c r="G71" s="257">
        <v>675049309.66469419</v>
      </c>
      <c r="H71" s="257">
        <v>259911894.2731277</v>
      </c>
      <c r="I71" s="257">
        <v>1369</v>
      </c>
      <c r="J71" s="257">
        <v>1534</v>
      </c>
      <c r="K71" s="257">
        <v>2300130.7140560783</v>
      </c>
      <c r="L71" s="257">
        <v>-602869.28594392166</v>
      </c>
      <c r="M71" s="257">
        <v>0</v>
      </c>
      <c r="Q71" s="163"/>
      <c r="R71" s="125"/>
      <c r="S71" s="124"/>
      <c r="T71" s="205"/>
    </row>
    <row r="72" spans="1:20" x14ac:dyDescent="0.2">
      <c r="A72" s="254" t="s">
        <v>636</v>
      </c>
      <c r="B72" s="254" t="s">
        <v>281</v>
      </c>
      <c r="C72" s="254">
        <v>9.1499999999999998E-2</v>
      </c>
      <c r="D72" s="254">
        <v>0.1484</v>
      </c>
      <c r="E72" s="254">
        <v>0.1101</v>
      </c>
      <c r="F72" s="256">
        <v>308.14</v>
      </c>
      <c r="G72" s="257">
        <v>5977049180.3278685</v>
      </c>
      <c r="H72" s="257">
        <v>889748549.32301736</v>
      </c>
      <c r="I72" s="257">
        <v>5469</v>
      </c>
      <c r="J72" s="257">
        <v>2300</v>
      </c>
      <c r="K72" s="257">
        <v>14931351.587024763</v>
      </c>
      <c r="L72" s="257">
        <v>7162351.5870247632</v>
      </c>
      <c r="M72" s="257">
        <v>7162351.5870247632</v>
      </c>
      <c r="Q72" s="163"/>
      <c r="R72" s="125"/>
      <c r="S72" s="124"/>
      <c r="T72" s="205"/>
    </row>
    <row r="73" spans="1:20" x14ac:dyDescent="0.2">
      <c r="A73" s="254" t="s">
        <v>628</v>
      </c>
      <c r="B73" s="254" t="s">
        <v>154</v>
      </c>
      <c r="C73" s="254">
        <v>0.11559999999999999</v>
      </c>
      <c r="D73" s="254">
        <v>0.1709</v>
      </c>
      <c r="E73" s="254">
        <v>0.14990000000000001</v>
      </c>
      <c r="F73" s="256">
        <v>296.85000000000002</v>
      </c>
      <c r="G73" s="257">
        <v>2505190311.4186854</v>
      </c>
      <c r="H73" s="257">
        <v>394638403.99002492</v>
      </c>
      <c r="I73" s="257">
        <v>2896</v>
      </c>
      <c r="J73" s="257">
        <v>1266</v>
      </c>
      <c r="K73" s="257">
        <v>6341849.2048425656</v>
      </c>
      <c r="L73" s="257">
        <v>2179849.2048425656</v>
      </c>
      <c r="M73" s="257">
        <v>2179849.2048425656</v>
      </c>
      <c r="Q73" s="163"/>
      <c r="R73" s="125"/>
      <c r="S73" s="124"/>
      <c r="T73" s="205"/>
    </row>
    <row r="74" spans="1:20" x14ac:dyDescent="0.2">
      <c r="A74" s="254" t="s">
        <v>633</v>
      </c>
      <c r="B74" s="254" t="s">
        <v>355</v>
      </c>
      <c r="C74" s="254">
        <v>0.14291999999999999</v>
      </c>
      <c r="D74" s="254">
        <v>0.28341</v>
      </c>
      <c r="E74" s="254">
        <v>0.22694</v>
      </c>
      <c r="F74" s="256">
        <v>274.81</v>
      </c>
      <c r="G74" s="257">
        <v>9321998320.7388763</v>
      </c>
      <c r="H74" s="257">
        <v>2618986969.7266583</v>
      </c>
      <c r="I74" s="257">
        <v>13323</v>
      </c>
      <c r="J74" s="257">
        <v>13366</v>
      </c>
      <c r="K74" s="257">
        <v>28027946.600869972</v>
      </c>
      <c r="L74" s="257">
        <v>1338946.6008699723</v>
      </c>
      <c r="M74" s="257">
        <v>1338946.6008699723</v>
      </c>
      <c r="Q74" s="163"/>
      <c r="R74" s="125"/>
      <c r="S74" s="124"/>
      <c r="T74" s="205"/>
    </row>
    <row r="75" spans="1:20" x14ac:dyDescent="0.2">
      <c r="A75" s="254" t="s">
        <v>637</v>
      </c>
      <c r="B75" s="254" t="s">
        <v>160</v>
      </c>
      <c r="C75" s="254">
        <v>0.21049999999999999</v>
      </c>
      <c r="D75" s="254">
        <v>0.46920000000000001</v>
      </c>
      <c r="E75" s="254">
        <v>0.39410000000000001</v>
      </c>
      <c r="F75" s="256">
        <v>260.05</v>
      </c>
      <c r="G75" s="257">
        <v>1447030878.8598573</v>
      </c>
      <c r="H75" s="257">
        <v>916135758.13737977</v>
      </c>
      <c r="I75" s="257">
        <v>3046</v>
      </c>
      <c r="J75" s="257">
        <v>7909</v>
      </c>
      <c r="K75" s="257">
        <v>6312657.1106341369</v>
      </c>
      <c r="L75" s="257">
        <v>-4642342.8893658631</v>
      </c>
      <c r="M75" s="257">
        <v>0</v>
      </c>
      <c r="Q75" s="163"/>
      <c r="R75" s="125"/>
      <c r="S75" s="124"/>
      <c r="T75" s="205"/>
    </row>
    <row r="76" spans="1:20" x14ac:dyDescent="0.2">
      <c r="A76" s="254" t="s">
        <v>630</v>
      </c>
      <c r="B76" s="254" t="s">
        <v>310</v>
      </c>
      <c r="C76" s="254">
        <v>0.13869999999999999</v>
      </c>
      <c r="D76" s="254">
        <v>0.36940000000000001</v>
      </c>
      <c r="E76" s="254">
        <v>0.31940000000000002</v>
      </c>
      <c r="F76" s="256">
        <v>201.51</v>
      </c>
      <c r="G76" s="257">
        <v>4256669069.935112</v>
      </c>
      <c r="H76" s="257">
        <v>1171457607.433217</v>
      </c>
      <c r="I76" s="257">
        <v>5904</v>
      </c>
      <c r="J76" s="257">
        <v>8069</v>
      </c>
      <c r="K76" s="257">
        <v>12704199.748242976</v>
      </c>
      <c r="L76" s="257">
        <v>-1268800.2517570239</v>
      </c>
      <c r="M76" s="257">
        <v>0</v>
      </c>
      <c r="Q76" s="163"/>
      <c r="R76" s="125"/>
      <c r="S76" s="124"/>
      <c r="T76" s="205"/>
    </row>
    <row r="77" spans="1:20" x14ac:dyDescent="0.2">
      <c r="A77" s="254" t="s">
        <v>629</v>
      </c>
      <c r="B77" s="254" t="s">
        <v>431</v>
      </c>
      <c r="C77" s="254">
        <v>0.14990000000000001</v>
      </c>
      <c r="D77" s="254">
        <v>0.2039</v>
      </c>
      <c r="E77" s="254">
        <v>0.1837</v>
      </c>
      <c r="F77" s="256">
        <v>378.64</v>
      </c>
      <c r="G77" s="257">
        <v>3317545030.0200129</v>
      </c>
      <c r="H77" s="257">
        <v>835655314.75748193</v>
      </c>
      <c r="I77" s="257">
        <v>4973</v>
      </c>
      <c r="J77" s="257">
        <v>3239</v>
      </c>
      <c r="K77" s="257">
        <v>9603547.1446048301</v>
      </c>
      <c r="L77" s="257">
        <v>1391547.1446048301</v>
      </c>
      <c r="M77" s="257">
        <v>1391547.1446048301</v>
      </c>
      <c r="Q77" s="163"/>
      <c r="R77" s="125"/>
      <c r="S77" s="124"/>
      <c r="T77" s="205"/>
    </row>
    <row r="78" spans="1:20" x14ac:dyDescent="0.2">
      <c r="A78" s="254" t="s">
        <v>634</v>
      </c>
      <c r="B78" s="254" t="s">
        <v>202</v>
      </c>
      <c r="C78" s="254">
        <v>0.15459999999999999</v>
      </c>
      <c r="D78" s="254">
        <v>0.41439999999999999</v>
      </c>
      <c r="E78" s="254">
        <v>0.32700000000000001</v>
      </c>
      <c r="F78" s="256">
        <v>302.98</v>
      </c>
      <c r="G78" s="257">
        <v>8433376455.3686943</v>
      </c>
      <c r="H78" s="257">
        <v>1828702454.8152144</v>
      </c>
      <c r="I78" s="257">
        <v>13038</v>
      </c>
      <c r="J78" s="257">
        <v>13558</v>
      </c>
      <c r="K78" s="257">
        <v>23274754.127623312</v>
      </c>
      <c r="L78" s="257">
        <v>-3321245.8723766878</v>
      </c>
      <c r="M78" s="257">
        <v>0</v>
      </c>
      <c r="Q78" s="163"/>
      <c r="R78" s="125"/>
      <c r="S78" s="124"/>
      <c r="T78" s="205"/>
    </row>
    <row r="79" spans="1:20" x14ac:dyDescent="0.2">
      <c r="A79" s="254" t="s">
        <v>630</v>
      </c>
      <c r="B79" s="254" t="s">
        <v>311</v>
      </c>
      <c r="C79" s="254">
        <v>9.5399999999999999E-2</v>
      </c>
      <c r="D79" s="254">
        <v>0.26240000000000002</v>
      </c>
      <c r="E79" s="254">
        <v>0.24929999999999999</v>
      </c>
      <c r="F79" s="256">
        <v>228.39</v>
      </c>
      <c r="G79" s="257">
        <v>3262054507.3375263</v>
      </c>
      <c r="H79" s="257">
        <v>581395348.83720934</v>
      </c>
      <c r="I79" s="257">
        <v>3112</v>
      </c>
      <c r="J79" s="257">
        <v>2975</v>
      </c>
      <c r="K79" s="257">
        <v>8517827.019647995</v>
      </c>
      <c r="L79" s="257">
        <v>2430827.019647995</v>
      </c>
      <c r="M79" s="257">
        <v>2430827.019647995</v>
      </c>
      <c r="Q79" s="163"/>
      <c r="R79" s="125"/>
      <c r="S79" s="124"/>
      <c r="T79" s="205"/>
    </row>
    <row r="80" spans="1:20" x14ac:dyDescent="0.2">
      <c r="A80" s="254" t="s">
        <v>634</v>
      </c>
      <c r="B80" s="254" t="s">
        <v>203</v>
      </c>
      <c r="C80" s="254">
        <v>0.14380000000000001</v>
      </c>
      <c r="D80" s="254">
        <v>0.22320000000000001</v>
      </c>
      <c r="E80" s="254">
        <v>0.1769</v>
      </c>
      <c r="F80" s="256">
        <v>366.84</v>
      </c>
      <c r="G80" s="257">
        <v>2599443671.7663422</v>
      </c>
      <c r="H80" s="257">
        <v>734566358.41039741</v>
      </c>
      <c r="I80" s="257">
        <v>3738</v>
      </c>
      <c r="J80" s="257">
        <v>2939</v>
      </c>
      <c r="K80" s="257">
        <v>7832009.5480302395</v>
      </c>
      <c r="L80" s="257">
        <v>1155009.5480302395</v>
      </c>
      <c r="M80" s="257">
        <v>1155009.5480302395</v>
      </c>
      <c r="Q80" s="163"/>
      <c r="R80" s="125"/>
      <c r="S80" s="124"/>
      <c r="T80" s="205"/>
    </row>
    <row r="81" spans="1:23" x14ac:dyDescent="0.2">
      <c r="A81" s="254" t="s">
        <v>631</v>
      </c>
      <c r="B81" s="254" t="s">
        <v>233</v>
      </c>
      <c r="C81" s="254">
        <v>0.14138999999999999</v>
      </c>
      <c r="D81" s="254">
        <v>0.19034999999999999</v>
      </c>
      <c r="E81" s="254">
        <v>0.13851000000000002</v>
      </c>
      <c r="F81" s="256">
        <v>268.11</v>
      </c>
      <c r="G81" s="257">
        <v>998656199.16542912</v>
      </c>
      <c r="H81" s="257">
        <v>123760870.88730766</v>
      </c>
      <c r="I81" s="257">
        <v>1412</v>
      </c>
      <c r="J81" s="257">
        <v>407</v>
      </c>
      <c r="K81" s="257">
        <v>2398892.5363095859</v>
      </c>
      <c r="L81" s="257">
        <v>579892.53630958591</v>
      </c>
      <c r="M81" s="257">
        <v>579892.53630958591</v>
      </c>
      <c r="Q81" s="163"/>
      <c r="R81" s="125"/>
      <c r="S81" s="124"/>
      <c r="T81" s="205"/>
    </row>
    <row r="82" spans="1:23" x14ac:dyDescent="0.2">
      <c r="A82" s="254" t="s">
        <v>631</v>
      </c>
      <c r="B82" s="254" t="s">
        <v>234</v>
      </c>
      <c r="C82" s="254">
        <v>0.1298</v>
      </c>
      <c r="D82" s="254">
        <v>0.23730000000000001</v>
      </c>
      <c r="E82" s="254">
        <v>0.2296</v>
      </c>
      <c r="F82" s="256">
        <v>251.7</v>
      </c>
      <c r="G82" s="257">
        <v>5050847457.6271191</v>
      </c>
      <c r="H82" s="257">
        <v>1191475690.7260656</v>
      </c>
      <c r="I82" s="257">
        <v>6556</v>
      </c>
      <c r="J82" s="257">
        <v>5563</v>
      </c>
      <c r="K82" s="257">
        <v>14310062.765227556</v>
      </c>
      <c r="L82" s="257">
        <v>2191062.7652275562</v>
      </c>
      <c r="M82" s="257">
        <v>2191062.7652275562</v>
      </c>
      <c r="Q82" s="163"/>
      <c r="R82" s="125"/>
      <c r="S82" s="124"/>
      <c r="T82" s="205"/>
    </row>
    <row r="83" spans="1:23" x14ac:dyDescent="0.2">
      <c r="A83" s="254" t="s">
        <v>629</v>
      </c>
      <c r="B83" s="254" t="s">
        <v>432</v>
      </c>
      <c r="C83" s="254">
        <v>0.13880000000000001</v>
      </c>
      <c r="D83" s="254">
        <v>0.15129999999999999</v>
      </c>
      <c r="E83" s="254">
        <v>0.12740000000000001</v>
      </c>
      <c r="F83" s="256">
        <v>320.55</v>
      </c>
      <c r="G83" s="257">
        <v>2509365994.236311</v>
      </c>
      <c r="H83" s="257">
        <v>496232508.07319701</v>
      </c>
      <c r="I83" s="257">
        <v>3483</v>
      </c>
      <c r="J83" s="257">
        <v>1383</v>
      </c>
      <c r="K83" s="257">
        <v>6741024.6949867075</v>
      </c>
      <c r="L83" s="257">
        <v>1875024.6949867075</v>
      </c>
      <c r="M83" s="257">
        <v>1875024.6949867075</v>
      </c>
      <c r="Q83" s="163"/>
      <c r="R83" s="125"/>
      <c r="S83" s="124"/>
      <c r="T83" s="205"/>
    </row>
    <row r="84" spans="1:23" x14ac:dyDescent="0.2">
      <c r="A84" s="254" t="s">
        <v>632</v>
      </c>
      <c r="B84" s="254" t="s">
        <v>182</v>
      </c>
      <c r="C84" s="254">
        <v>0.17560000000000001</v>
      </c>
      <c r="D84" s="254">
        <v>0.23949999999999999</v>
      </c>
      <c r="E84" s="254">
        <v>0.1948</v>
      </c>
      <c r="F84" s="256">
        <v>262.02</v>
      </c>
      <c r="G84" s="257">
        <v>1617881548.9749432</v>
      </c>
      <c r="H84" s="257">
        <v>473175224.49919403</v>
      </c>
      <c r="I84" s="257">
        <v>2841</v>
      </c>
      <c r="J84" s="257">
        <v>2055</v>
      </c>
      <c r="K84" s="257">
        <v>4936146.5960986624</v>
      </c>
      <c r="L84" s="257">
        <v>40146.596098662354</v>
      </c>
      <c r="M84" s="257">
        <v>40146.596098662354</v>
      </c>
      <c r="Q84" s="163"/>
      <c r="R84" s="125"/>
      <c r="S84" s="124"/>
      <c r="T84" s="205"/>
    </row>
    <row r="85" spans="1:23" x14ac:dyDescent="0.2">
      <c r="A85" s="254" t="s">
        <v>633</v>
      </c>
      <c r="B85" s="254" t="s">
        <v>356</v>
      </c>
      <c r="C85" s="254">
        <v>0.1222</v>
      </c>
      <c r="D85" s="254">
        <v>0.23910000000000001</v>
      </c>
      <c r="E85" s="254">
        <v>0.19400000000000001</v>
      </c>
      <c r="F85" s="256">
        <v>208.06</v>
      </c>
      <c r="G85" s="257">
        <v>9472995090.016367</v>
      </c>
      <c r="H85" s="257">
        <v>2897714153.7751093</v>
      </c>
      <c r="I85" s="257">
        <v>11576</v>
      </c>
      <c r="J85" s="257">
        <v>12550</v>
      </c>
      <c r="K85" s="257">
        <v>29391715.040315676</v>
      </c>
      <c r="L85" s="257">
        <v>5265715.0403156765</v>
      </c>
      <c r="M85" s="257">
        <v>5265715.0403156765</v>
      </c>
      <c r="Q85" s="163"/>
      <c r="R85" s="125"/>
      <c r="S85" s="124"/>
      <c r="T85" s="205"/>
    </row>
    <row r="86" spans="1:23" x14ac:dyDescent="0.2">
      <c r="A86" s="254" t="s">
        <v>630</v>
      </c>
      <c r="B86" s="254" t="s">
        <v>312</v>
      </c>
      <c r="C86" s="254">
        <v>9.35E-2</v>
      </c>
      <c r="D86" s="254">
        <v>0.18759999999999999</v>
      </c>
      <c r="E86" s="254">
        <v>0.15</v>
      </c>
      <c r="F86" s="256">
        <v>220.32</v>
      </c>
      <c r="G86" s="257">
        <v>1851336898.3957219</v>
      </c>
      <c r="H86" s="257">
        <v>292061611.37440759</v>
      </c>
      <c r="I86" s="257">
        <v>1731</v>
      </c>
      <c r="J86" s="257">
        <v>986</v>
      </c>
      <c r="K86" s="257">
        <v>4688260.7332032342</v>
      </c>
      <c r="L86" s="257">
        <v>1971260.7332032342</v>
      </c>
      <c r="M86" s="257">
        <v>1971260.7332032342</v>
      </c>
      <c r="Q86" s="163"/>
      <c r="R86" s="125"/>
      <c r="S86" s="124"/>
      <c r="T86" s="205"/>
    </row>
    <row r="87" spans="1:23" x14ac:dyDescent="0.2">
      <c r="A87" s="254" t="s">
        <v>629</v>
      </c>
      <c r="B87" s="254" t="s">
        <v>433</v>
      </c>
      <c r="C87" s="254">
        <v>0.1111</v>
      </c>
      <c r="D87" s="254">
        <v>0.18579999999999999</v>
      </c>
      <c r="E87" s="254">
        <v>0.1497</v>
      </c>
      <c r="F87" s="256">
        <v>268.39999999999998</v>
      </c>
      <c r="G87" s="257">
        <v>2705670567.0567055</v>
      </c>
      <c r="H87" s="257">
        <v>472727272.72727269</v>
      </c>
      <c r="I87" s="257">
        <v>3006</v>
      </c>
      <c r="J87" s="257">
        <v>1586</v>
      </c>
      <c r="K87" s="257">
        <v>7028415.8415841581</v>
      </c>
      <c r="L87" s="257">
        <v>2436415.8415841581</v>
      </c>
      <c r="M87" s="257">
        <v>2436415.8415841581</v>
      </c>
      <c r="Q87" s="163"/>
      <c r="R87" s="125"/>
      <c r="S87" s="124"/>
      <c r="T87" s="205"/>
    </row>
    <row r="88" spans="1:23" x14ac:dyDescent="0.2">
      <c r="A88" s="254" t="s">
        <v>635</v>
      </c>
      <c r="B88" s="254" t="s">
        <v>512</v>
      </c>
      <c r="C88" s="254">
        <v>0.16020000000000001</v>
      </c>
      <c r="D88" s="254">
        <v>0.2261</v>
      </c>
      <c r="E88" s="254">
        <v>0.15920000000000001</v>
      </c>
      <c r="F88" s="256">
        <v>328.3</v>
      </c>
      <c r="G88" s="257">
        <v>3220349563.0461922</v>
      </c>
      <c r="H88" s="257">
        <v>1035037633.0132365</v>
      </c>
      <c r="I88" s="257">
        <v>5159</v>
      </c>
      <c r="J88" s="257">
        <v>3988</v>
      </c>
      <c r="K88" s="257">
        <v>10184067.79596488</v>
      </c>
      <c r="L88" s="257">
        <v>1037067.7959648799</v>
      </c>
      <c r="M88" s="257">
        <v>1037067.7959648799</v>
      </c>
      <c r="Q88" s="163"/>
      <c r="R88" s="125"/>
      <c r="S88" s="124"/>
      <c r="T88" s="205"/>
    </row>
    <row r="89" spans="1:23" x14ac:dyDescent="0.2">
      <c r="A89" s="254" t="s">
        <v>631</v>
      </c>
      <c r="B89" s="254" t="s">
        <v>235</v>
      </c>
      <c r="C89" s="254">
        <v>0.12659999999999999</v>
      </c>
      <c r="D89" s="254">
        <v>0.17910000000000001</v>
      </c>
      <c r="E89" s="254">
        <v>0.15509999999999999</v>
      </c>
      <c r="F89" s="256">
        <v>285.57</v>
      </c>
      <c r="G89" s="257">
        <v>1707740916.2717221</v>
      </c>
      <c r="H89" s="257">
        <v>323159784.56014365</v>
      </c>
      <c r="I89" s="257">
        <v>2162</v>
      </c>
      <c r="J89" s="257">
        <v>1080</v>
      </c>
      <c r="K89" s="257">
        <v>4531566.4343796186</v>
      </c>
      <c r="L89" s="257">
        <v>1289566.4343796186</v>
      </c>
      <c r="M89" s="257">
        <v>1289566.4343796186</v>
      </c>
      <c r="Q89" s="163"/>
      <c r="R89" s="125"/>
      <c r="S89" s="124"/>
      <c r="T89" s="205"/>
    </row>
    <row r="90" spans="1:23" x14ac:dyDescent="0.2">
      <c r="A90" s="254" t="s">
        <v>631</v>
      </c>
      <c r="B90" s="254" t="s">
        <v>236</v>
      </c>
      <c r="C90" s="254">
        <v>0.14990000000000001</v>
      </c>
      <c r="D90" s="254">
        <v>0.1842</v>
      </c>
      <c r="E90" s="254">
        <v>0.13980000000000001</v>
      </c>
      <c r="F90" s="256">
        <v>313.39999999999998</v>
      </c>
      <c r="G90" s="257">
        <v>2422281521.014009</v>
      </c>
      <c r="H90" s="257">
        <v>702777777.77777767</v>
      </c>
      <c r="I90" s="257">
        <v>3631</v>
      </c>
      <c r="J90" s="257">
        <v>2277</v>
      </c>
      <c r="K90" s="257">
        <v>7368586.3723964114</v>
      </c>
      <c r="L90" s="257">
        <v>1460586.3723964114</v>
      </c>
      <c r="M90" s="257">
        <v>1460586.3723964114</v>
      </c>
      <c r="Q90" s="163"/>
      <c r="R90" s="125"/>
      <c r="S90" s="124"/>
      <c r="T90" s="205"/>
    </row>
    <row r="91" spans="1:23" x14ac:dyDescent="0.2">
      <c r="A91" s="254" t="s">
        <v>638</v>
      </c>
      <c r="B91" s="254" t="s">
        <v>482</v>
      </c>
      <c r="C91" s="254">
        <v>0.1431</v>
      </c>
      <c r="D91" s="254">
        <v>0.21797</v>
      </c>
      <c r="E91" s="254">
        <v>0.17424000000000001</v>
      </c>
      <c r="F91" s="256">
        <v>292.06</v>
      </c>
      <c r="G91" s="257">
        <v>2890286512.9280224</v>
      </c>
      <c r="H91" s="257">
        <v>647612248.54032266</v>
      </c>
      <c r="I91" s="257">
        <v>4136</v>
      </c>
      <c r="J91" s="257">
        <v>2540</v>
      </c>
      <c r="K91" s="257">
        <v>8057108.6942666862</v>
      </c>
      <c r="L91" s="257">
        <v>1381108.6942666862</v>
      </c>
      <c r="M91" s="257">
        <v>1381108.6942666862</v>
      </c>
      <c r="Q91" s="163"/>
      <c r="R91" s="125"/>
      <c r="S91" s="124"/>
      <c r="T91" s="205"/>
    </row>
    <row r="92" spans="1:23" x14ac:dyDescent="0.2">
      <c r="A92" s="254" t="s">
        <v>630</v>
      </c>
      <c r="B92" s="254" t="s">
        <v>313</v>
      </c>
      <c r="C92" s="254">
        <v>0.1022</v>
      </c>
      <c r="D92" s="254">
        <v>0.18809999999999999</v>
      </c>
      <c r="E92" s="254">
        <v>0.14990000000000001</v>
      </c>
      <c r="F92" s="256">
        <v>260.18</v>
      </c>
      <c r="G92" s="257">
        <v>3811154598.8258319</v>
      </c>
      <c r="H92" s="257">
        <v>601775147.92899418</v>
      </c>
      <c r="I92" s="257">
        <v>3895</v>
      </c>
      <c r="J92" s="257">
        <v>2034</v>
      </c>
      <c r="K92" s="257">
        <v>9653306.9222663529</v>
      </c>
      <c r="L92" s="257">
        <v>3724306.9222663529</v>
      </c>
      <c r="M92" s="257">
        <v>3724306.9222663529</v>
      </c>
      <c r="Q92" s="163"/>
      <c r="R92" s="125"/>
      <c r="S92" s="124"/>
      <c r="T92" s="205"/>
    </row>
    <row r="93" spans="1:23" x14ac:dyDescent="0.2">
      <c r="A93" s="254" t="s">
        <v>631</v>
      </c>
      <c r="B93" s="254" t="s">
        <v>237</v>
      </c>
      <c r="C93" s="254">
        <v>0.1091</v>
      </c>
      <c r="D93" s="254">
        <v>0.21429999999999999</v>
      </c>
      <c r="E93" s="254">
        <v>0.17119999999999999</v>
      </c>
      <c r="F93" s="256">
        <v>266.02</v>
      </c>
      <c r="G93" s="257">
        <v>11235563703.024748</v>
      </c>
      <c r="H93" s="257">
        <v>2961348897.5356684</v>
      </c>
      <c r="I93" s="257">
        <v>12258</v>
      </c>
      <c r="J93" s="257">
        <v>11416</v>
      </c>
      <c r="K93" s="257">
        <v>33029653.383834962</v>
      </c>
      <c r="L93" s="257">
        <v>9355653.3838349618</v>
      </c>
      <c r="M93" s="257">
        <v>9355653.3838349618</v>
      </c>
      <c r="Q93" s="163"/>
      <c r="R93" s="125"/>
      <c r="S93" s="124"/>
      <c r="T93" s="205"/>
      <c r="W93" s="164"/>
    </row>
    <row r="94" spans="1:23" x14ac:dyDescent="0.2">
      <c r="A94" s="254" t="s">
        <v>636</v>
      </c>
      <c r="B94" s="254" t="s">
        <v>282</v>
      </c>
      <c r="C94" s="254">
        <v>0.12239999999999999</v>
      </c>
      <c r="D94" s="254">
        <v>0.2969</v>
      </c>
      <c r="E94" s="254">
        <v>0</v>
      </c>
      <c r="F94" s="256">
        <v>389.75</v>
      </c>
      <c r="G94" s="257">
        <v>1224673202.6143789</v>
      </c>
      <c r="H94" s="257">
        <v>176490400.80835298</v>
      </c>
      <c r="I94" s="257">
        <v>1499</v>
      </c>
      <c r="J94" s="257">
        <v>524</v>
      </c>
      <c r="K94" s="257">
        <v>3036983.9581448389</v>
      </c>
      <c r="L94" s="257">
        <v>1013983.9581448389</v>
      </c>
      <c r="M94" s="257">
        <v>1013983.9581448389</v>
      </c>
      <c r="Q94" s="163"/>
      <c r="R94" s="125"/>
      <c r="S94" s="124"/>
      <c r="T94" s="205"/>
    </row>
    <row r="95" spans="1:23" x14ac:dyDescent="0.2">
      <c r="A95" s="254" t="s">
        <v>637</v>
      </c>
      <c r="B95" s="254" t="s">
        <v>161</v>
      </c>
      <c r="C95" s="254">
        <v>0.2455</v>
      </c>
      <c r="D95" s="254">
        <v>0.41860000000000003</v>
      </c>
      <c r="E95" s="254">
        <v>0.33710000000000001</v>
      </c>
      <c r="F95" s="256">
        <v>356.7</v>
      </c>
      <c r="G95" s="257">
        <v>1038289205.7026476</v>
      </c>
      <c r="H95" s="257">
        <v>1275109170.3056767</v>
      </c>
      <c r="I95" s="257">
        <v>2549</v>
      </c>
      <c r="J95" s="257">
        <v>9636</v>
      </c>
      <c r="K95" s="257">
        <v>6907877.0266544521</v>
      </c>
      <c r="L95" s="257">
        <v>-5277122.9733455479</v>
      </c>
      <c r="M95" s="257">
        <v>0</v>
      </c>
      <c r="Q95" s="163"/>
      <c r="R95" s="125"/>
      <c r="S95" s="124"/>
      <c r="T95" s="205"/>
    </row>
    <row r="96" spans="1:23" x14ac:dyDescent="0.2">
      <c r="A96" s="254" t="s">
        <v>629</v>
      </c>
      <c r="B96" s="254" t="s">
        <v>434</v>
      </c>
      <c r="C96" s="254">
        <v>9.4600000000000004E-2</v>
      </c>
      <c r="D96" s="254">
        <v>0.16139999999999999</v>
      </c>
      <c r="E96" s="254">
        <v>0.12870000000000001</v>
      </c>
      <c r="F96" s="256">
        <v>279.20999999999998</v>
      </c>
      <c r="G96" s="257">
        <v>2303382663.8477802</v>
      </c>
      <c r="H96" s="257">
        <v>477766287.48707336</v>
      </c>
      <c r="I96" s="257">
        <v>2179</v>
      </c>
      <c r="J96" s="257">
        <v>1386</v>
      </c>
      <c r="K96" s="257">
        <v>6273411.8347322103</v>
      </c>
      <c r="L96" s="257">
        <v>2708411.8347322103</v>
      </c>
      <c r="M96" s="257">
        <v>2708411.8347322103</v>
      </c>
      <c r="Q96" s="163"/>
      <c r="R96" s="125"/>
      <c r="S96" s="124"/>
      <c r="T96" s="205"/>
    </row>
    <row r="97" spans="1:20" x14ac:dyDescent="0.2">
      <c r="A97" s="254" t="s">
        <v>638</v>
      </c>
      <c r="B97" s="254" t="s">
        <v>483</v>
      </c>
      <c r="C97" s="254">
        <v>0.1525</v>
      </c>
      <c r="D97" s="254">
        <v>0.1646</v>
      </c>
      <c r="E97" s="254">
        <v>0.1338</v>
      </c>
      <c r="F97" s="256">
        <v>371.14</v>
      </c>
      <c r="G97" s="257">
        <v>2579016393.4426231</v>
      </c>
      <c r="H97" s="257">
        <v>342828418.23056298</v>
      </c>
      <c r="I97" s="257">
        <v>3933</v>
      </c>
      <c r="J97" s="257">
        <v>1023</v>
      </c>
      <c r="K97" s="257">
        <v>6284495.9675647169</v>
      </c>
      <c r="L97" s="257">
        <v>1328495.9675647169</v>
      </c>
      <c r="M97" s="257">
        <v>1328495.9675647169</v>
      </c>
      <c r="Q97" s="163"/>
      <c r="R97" s="125"/>
      <c r="S97" s="124"/>
      <c r="T97" s="205"/>
    </row>
    <row r="98" spans="1:20" x14ac:dyDescent="0.2">
      <c r="A98" s="254" t="s">
        <v>629</v>
      </c>
      <c r="B98" s="254" t="s">
        <v>435</v>
      </c>
      <c r="C98" s="254">
        <v>0.11065999999999999</v>
      </c>
      <c r="D98" s="254">
        <v>0.24238000000000001</v>
      </c>
      <c r="E98" s="254">
        <v>0.19134999999999999</v>
      </c>
      <c r="F98" s="256">
        <v>249.14</v>
      </c>
      <c r="G98" s="257">
        <v>24615940719.320442</v>
      </c>
      <c r="H98" s="257">
        <v>6848500219.0302725</v>
      </c>
      <c r="I98" s="257">
        <v>27240</v>
      </c>
      <c r="J98" s="257">
        <v>29704</v>
      </c>
      <c r="K98" s="257">
        <v>73752411.727958396</v>
      </c>
      <c r="L98" s="257">
        <v>16808411.727958396</v>
      </c>
      <c r="M98" s="257">
        <v>16808411.727958396</v>
      </c>
      <c r="Q98" s="163"/>
      <c r="R98" s="125"/>
      <c r="S98" s="124"/>
      <c r="T98" s="205"/>
    </row>
    <row r="99" spans="1:20" x14ac:dyDescent="0.2">
      <c r="A99" s="254" t="s">
        <v>631</v>
      </c>
      <c r="B99" s="254" t="s">
        <v>238</v>
      </c>
      <c r="C99" s="254">
        <v>0.109</v>
      </c>
      <c r="D99" s="254">
        <v>0.183</v>
      </c>
      <c r="E99" s="254">
        <v>0.14299999999999999</v>
      </c>
      <c r="F99" s="256">
        <v>255.84</v>
      </c>
      <c r="G99" s="257">
        <v>2064220183.4862385</v>
      </c>
      <c r="H99" s="257">
        <v>453374233.12883443</v>
      </c>
      <c r="I99" s="257">
        <v>2250</v>
      </c>
      <c r="J99" s="257">
        <v>1478</v>
      </c>
      <c r="K99" s="257">
        <v>5719114.6507570222</v>
      </c>
      <c r="L99" s="257">
        <v>1991114.6507570222</v>
      </c>
      <c r="M99" s="257">
        <v>1991114.6507570222</v>
      </c>
      <c r="Q99" s="163"/>
      <c r="R99" s="125"/>
      <c r="S99" s="124"/>
      <c r="T99" s="205"/>
    </row>
    <row r="100" spans="1:20" x14ac:dyDescent="0.2">
      <c r="A100" s="254" t="s">
        <v>628</v>
      </c>
      <c r="B100" s="254" t="s">
        <v>147</v>
      </c>
      <c r="C100" s="254">
        <v>0.2054</v>
      </c>
      <c r="D100" s="254">
        <v>0.32040000000000002</v>
      </c>
      <c r="E100" s="254">
        <v>0.25819999999999999</v>
      </c>
      <c r="F100" s="256">
        <v>307.67</v>
      </c>
      <c r="G100" s="257">
        <v>7062317429.4060373</v>
      </c>
      <c r="H100" s="257">
        <v>2031628067.7497406</v>
      </c>
      <c r="I100" s="257">
        <v>14506</v>
      </c>
      <c r="J100" s="257">
        <v>11755</v>
      </c>
      <c r="K100" s="257">
        <v>21416729.112443123</v>
      </c>
      <c r="L100" s="257">
        <v>-4844270.887556877</v>
      </c>
      <c r="M100" s="257">
        <v>0</v>
      </c>
      <c r="Q100" s="163"/>
      <c r="R100" s="125"/>
      <c r="S100" s="124"/>
      <c r="T100" s="205"/>
    </row>
    <row r="101" spans="1:20" x14ac:dyDescent="0.2">
      <c r="A101" s="254" t="s">
        <v>630</v>
      </c>
      <c r="B101" s="254" t="s">
        <v>314</v>
      </c>
      <c r="C101" s="254">
        <v>0.1071</v>
      </c>
      <c r="D101" s="254">
        <v>0.30790000000000001</v>
      </c>
      <c r="E101" s="254">
        <v>0.23180000000000001</v>
      </c>
      <c r="F101" s="256">
        <v>199.14</v>
      </c>
      <c r="G101" s="257">
        <v>1564892623.7161534</v>
      </c>
      <c r="H101" s="257">
        <v>408930887.53010929</v>
      </c>
      <c r="I101" s="257">
        <v>1676</v>
      </c>
      <c r="J101" s="257">
        <v>2207</v>
      </c>
      <c r="K101" s="257">
        <v>4586802.2176445164</v>
      </c>
      <c r="L101" s="257">
        <v>703802.21764451638</v>
      </c>
      <c r="M101" s="257">
        <v>703802.21764451638</v>
      </c>
      <c r="Q101" s="163"/>
      <c r="R101" s="125"/>
      <c r="S101" s="124"/>
      <c r="T101" s="205"/>
    </row>
    <row r="102" spans="1:20" x14ac:dyDescent="0.2">
      <c r="A102" s="254" t="s">
        <v>634</v>
      </c>
      <c r="B102" s="254" t="s">
        <v>204</v>
      </c>
      <c r="C102" s="254">
        <v>0.16189999999999999</v>
      </c>
      <c r="D102" s="254">
        <v>0.4279</v>
      </c>
      <c r="E102" s="254">
        <v>0.35210000000000002</v>
      </c>
      <c r="F102" s="256">
        <v>271.92</v>
      </c>
      <c r="G102" s="257">
        <v>11962940086.473133</v>
      </c>
      <c r="H102" s="257">
        <v>3117435897.4358974</v>
      </c>
      <c r="I102" s="257">
        <v>19368</v>
      </c>
      <c r="J102" s="257">
        <v>24316</v>
      </c>
      <c r="K102" s="257">
        <v>35030787.87158899</v>
      </c>
      <c r="L102" s="257">
        <v>-8653212.1284110099</v>
      </c>
      <c r="M102" s="257">
        <v>0</v>
      </c>
      <c r="Q102" s="163"/>
      <c r="R102" s="125"/>
      <c r="S102" s="124"/>
      <c r="T102" s="205"/>
    </row>
    <row r="103" spans="1:20" x14ac:dyDescent="0.2">
      <c r="A103" s="254" t="s">
        <v>631</v>
      </c>
      <c r="B103" s="254" t="s">
        <v>239</v>
      </c>
      <c r="C103" s="254">
        <v>0.1009</v>
      </c>
      <c r="D103" s="254">
        <v>0.14419999999999999</v>
      </c>
      <c r="E103" s="254">
        <v>0.1099</v>
      </c>
      <c r="F103" s="256">
        <v>276.52</v>
      </c>
      <c r="G103" s="257">
        <v>3944499504.4598608</v>
      </c>
      <c r="H103" s="257">
        <v>669421487.60330582</v>
      </c>
      <c r="I103" s="257">
        <v>3980</v>
      </c>
      <c r="J103" s="257">
        <v>1701</v>
      </c>
      <c r="K103" s="257">
        <v>10170434.273357959</v>
      </c>
      <c r="L103" s="257">
        <v>4489434.2733579595</v>
      </c>
      <c r="M103" s="257">
        <v>4489434.2733579595</v>
      </c>
      <c r="Q103" s="163"/>
      <c r="R103" s="125"/>
      <c r="S103" s="124"/>
      <c r="T103" s="205"/>
    </row>
    <row r="104" spans="1:20" x14ac:dyDescent="0.2">
      <c r="A104" s="254" t="s">
        <v>631</v>
      </c>
      <c r="B104" s="254" t="s">
        <v>240</v>
      </c>
      <c r="C104" s="254">
        <v>0.1032</v>
      </c>
      <c r="D104" s="254">
        <v>0.29659999999999997</v>
      </c>
      <c r="E104" s="254">
        <v>0.2382</v>
      </c>
      <c r="F104" s="256">
        <v>290.89999999999998</v>
      </c>
      <c r="G104" s="257">
        <v>3006782945.7364345</v>
      </c>
      <c r="H104" s="257">
        <v>592744951.38369489</v>
      </c>
      <c r="I104" s="257">
        <v>3103</v>
      </c>
      <c r="J104" s="257">
        <v>3170</v>
      </c>
      <c r="K104" s="257">
        <v>8070125.2333698627</v>
      </c>
      <c r="L104" s="257">
        <v>1797125.2333698627</v>
      </c>
      <c r="M104" s="257">
        <v>1797125.2333698627</v>
      </c>
      <c r="Q104" s="163"/>
      <c r="R104" s="125"/>
      <c r="S104" s="124"/>
      <c r="T104" s="205"/>
    </row>
    <row r="105" spans="1:20" x14ac:dyDescent="0.2">
      <c r="A105" s="254" t="s">
        <v>629</v>
      </c>
      <c r="B105" s="254" t="s">
        <v>436</v>
      </c>
      <c r="C105" s="254">
        <v>0.1086</v>
      </c>
      <c r="D105" s="254">
        <v>0.1847</v>
      </c>
      <c r="E105" s="254">
        <v>0.16800000000000001</v>
      </c>
      <c r="F105" s="256">
        <v>259.89999999999998</v>
      </c>
      <c r="G105" s="257">
        <v>4385819521.1786375</v>
      </c>
      <c r="H105" s="257">
        <v>1087326339.6654379</v>
      </c>
      <c r="I105" s="257">
        <v>4763</v>
      </c>
      <c r="J105" s="257">
        <v>3835</v>
      </c>
      <c r="K105" s="257">
        <v>12628908.985980814</v>
      </c>
      <c r="L105" s="257">
        <v>4030908.9859808143</v>
      </c>
      <c r="M105" s="257">
        <v>4030908.9859808143</v>
      </c>
      <c r="Q105" s="163"/>
      <c r="R105" s="125"/>
      <c r="S105" s="124"/>
      <c r="T105" s="205"/>
    </row>
    <row r="106" spans="1:20" x14ac:dyDescent="0.2">
      <c r="A106" s="254" t="s">
        <v>632</v>
      </c>
      <c r="B106" s="254" t="s">
        <v>183</v>
      </c>
      <c r="C106" s="254">
        <v>0.18970000000000001</v>
      </c>
      <c r="D106" s="254">
        <v>0.26350000000000001</v>
      </c>
      <c r="E106" s="254">
        <v>0.17780000000000001</v>
      </c>
      <c r="F106" s="256">
        <v>291.95</v>
      </c>
      <c r="G106" s="257">
        <v>540326831.83974695</v>
      </c>
      <c r="H106" s="257">
        <v>161568094.26693857</v>
      </c>
      <c r="I106" s="257">
        <v>1025</v>
      </c>
      <c r="J106" s="257">
        <v>713</v>
      </c>
      <c r="K106" s="257">
        <v>1662166.3142192264</v>
      </c>
      <c r="L106" s="257">
        <v>-75833.685780773638</v>
      </c>
      <c r="M106" s="257">
        <v>0</v>
      </c>
      <c r="Q106" s="163"/>
      <c r="R106" s="125"/>
      <c r="S106" s="124"/>
      <c r="T106" s="205"/>
    </row>
    <row r="107" spans="1:20" x14ac:dyDescent="0.2">
      <c r="A107" s="254" t="s">
        <v>629</v>
      </c>
      <c r="B107" s="254" t="s">
        <v>437</v>
      </c>
      <c r="C107" s="254">
        <v>0.1191</v>
      </c>
      <c r="D107" s="254">
        <v>0.22309999999999999</v>
      </c>
      <c r="E107" s="254">
        <v>0.17749999999999999</v>
      </c>
      <c r="F107" s="256">
        <v>254.67</v>
      </c>
      <c r="G107" s="257">
        <v>2084802686.8178003</v>
      </c>
      <c r="H107" s="257">
        <v>745132301.54767859</v>
      </c>
      <c r="I107" s="257">
        <v>2483</v>
      </c>
      <c r="J107" s="257">
        <v>2985</v>
      </c>
      <c r="K107" s="257">
        <v>6882004.5330828279</v>
      </c>
      <c r="L107" s="257">
        <v>1414004.5330828279</v>
      </c>
      <c r="M107" s="257">
        <v>1414004.5330828279</v>
      </c>
      <c r="Q107" s="163"/>
      <c r="R107" s="125"/>
      <c r="S107" s="124"/>
      <c r="T107" s="205"/>
    </row>
    <row r="108" spans="1:20" x14ac:dyDescent="0.2">
      <c r="A108" s="254" t="s">
        <v>631</v>
      </c>
      <c r="B108" s="254" t="s">
        <v>241</v>
      </c>
      <c r="C108" s="254">
        <v>0.14599999999999999</v>
      </c>
      <c r="D108" s="254">
        <v>0.31430000000000002</v>
      </c>
      <c r="E108" s="254">
        <v>0.25659999999999999</v>
      </c>
      <c r="F108" s="256">
        <v>403.18</v>
      </c>
      <c r="G108" s="257">
        <v>2879452054.7945209</v>
      </c>
      <c r="H108" s="257">
        <v>585566649.15046418</v>
      </c>
      <c r="I108" s="257">
        <v>4204</v>
      </c>
      <c r="J108" s="257">
        <v>3343</v>
      </c>
      <c r="K108" s="257">
        <v>7797376.8047087397</v>
      </c>
      <c r="L108" s="257">
        <v>250376.80470873974</v>
      </c>
      <c r="M108" s="257">
        <v>250376.80470873974</v>
      </c>
      <c r="Q108" s="163"/>
      <c r="R108" s="125"/>
      <c r="S108" s="124"/>
      <c r="T108" s="205"/>
    </row>
    <row r="109" spans="1:20" x14ac:dyDescent="0.2">
      <c r="A109" s="254" t="s">
        <v>629</v>
      </c>
      <c r="B109" s="254" t="s">
        <v>438</v>
      </c>
      <c r="C109" s="254">
        <v>8.0299999999999996E-2</v>
      </c>
      <c r="D109" s="254">
        <v>0.15229999999999999</v>
      </c>
      <c r="E109" s="254">
        <v>0.12379999999999999</v>
      </c>
      <c r="F109" s="256">
        <v>193.37</v>
      </c>
      <c r="G109" s="257">
        <v>4144458281.4445829</v>
      </c>
      <c r="H109" s="257">
        <v>570083303.15103221</v>
      </c>
      <c r="I109" s="257">
        <v>3328</v>
      </c>
      <c r="J109" s="257">
        <v>1574</v>
      </c>
      <c r="K109" s="257">
        <v>10172902.908912297</v>
      </c>
      <c r="L109" s="257">
        <v>5270902.9089122973</v>
      </c>
      <c r="M109" s="257">
        <v>5270902.9089122973</v>
      </c>
      <c r="Q109" s="163"/>
      <c r="R109" s="125"/>
      <c r="S109" s="124"/>
      <c r="T109" s="205"/>
    </row>
    <row r="110" spans="1:20" x14ac:dyDescent="0.2">
      <c r="A110" s="254" t="s">
        <v>629</v>
      </c>
      <c r="B110" s="254" t="s">
        <v>439</v>
      </c>
      <c r="C110" s="254">
        <v>0.16173000000000001</v>
      </c>
      <c r="D110" s="254">
        <v>0.23543</v>
      </c>
      <c r="E110" s="254">
        <v>0.16446</v>
      </c>
      <c r="F110" s="256">
        <v>407.56</v>
      </c>
      <c r="G110" s="257">
        <v>3008099919.6191182</v>
      </c>
      <c r="H110" s="257">
        <v>643426942.40916252</v>
      </c>
      <c r="I110" s="257">
        <v>4865</v>
      </c>
      <c r="J110" s="257">
        <v>2573</v>
      </c>
      <c r="K110" s="257">
        <v>8267786.073542079</v>
      </c>
      <c r="L110" s="257">
        <v>829786.07354207896</v>
      </c>
      <c r="M110" s="257">
        <v>829786.07354207896</v>
      </c>
      <c r="Q110" s="163"/>
      <c r="R110" s="125"/>
      <c r="S110" s="124"/>
      <c r="T110" s="205"/>
    </row>
    <row r="111" spans="1:20" x14ac:dyDescent="0.2">
      <c r="A111" s="254" t="s">
        <v>638</v>
      </c>
      <c r="B111" s="254" t="s">
        <v>484</v>
      </c>
      <c r="C111" s="254">
        <v>0.121</v>
      </c>
      <c r="D111" s="254">
        <v>0.1875</v>
      </c>
      <c r="E111" s="254">
        <v>0.15</v>
      </c>
      <c r="F111" s="256">
        <v>269</v>
      </c>
      <c r="G111" s="257">
        <v>1562809917.355372</v>
      </c>
      <c r="H111" s="257">
        <v>427259259.25925922</v>
      </c>
      <c r="I111" s="257">
        <v>1891</v>
      </c>
      <c r="J111" s="257">
        <v>1442</v>
      </c>
      <c r="K111" s="257">
        <v>4653357.2390572391</v>
      </c>
      <c r="L111" s="257">
        <v>1320357.2390572391</v>
      </c>
      <c r="M111" s="257">
        <v>1320357.2390572391</v>
      </c>
      <c r="Q111" s="163"/>
      <c r="R111" s="125"/>
      <c r="S111" s="124"/>
      <c r="T111" s="205"/>
    </row>
    <row r="112" spans="1:20" x14ac:dyDescent="0.2">
      <c r="A112" s="254" t="s">
        <v>633</v>
      </c>
      <c r="B112" s="254" t="s">
        <v>357</v>
      </c>
      <c r="C112" s="254">
        <v>0.1119</v>
      </c>
      <c r="D112" s="254">
        <v>0.16819999999999999</v>
      </c>
      <c r="E112" s="254">
        <v>0.14099999999999999</v>
      </c>
      <c r="F112" s="256">
        <v>321.12</v>
      </c>
      <c r="G112" s="257">
        <v>1655942806.0768545</v>
      </c>
      <c r="H112" s="257">
        <v>320504527.81371284</v>
      </c>
      <c r="I112" s="257">
        <v>1853</v>
      </c>
      <c r="J112" s="257">
        <v>991</v>
      </c>
      <c r="K112" s="257">
        <v>4421632.3337807395</v>
      </c>
      <c r="L112" s="257">
        <v>1577632.3337807395</v>
      </c>
      <c r="M112" s="257">
        <v>1577632.3337807395</v>
      </c>
      <c r="Q112" s="163"/>
      <c r="R112" s="125"/>
      <c r="S112" s="124"/>
      <c r="T112" s="205"/>
    </row>
    <row r="113" spans="1:20" x14ac:dyDescent="0.2">
      <c r="A113" s="254" t="s">
        <v>629</v>
      </c>
      <c r="B113" s="254" t="s">
        <v>440</v>
      </c>
      <c r="C113" s="254">
        <v>9.9500000000000005E-2</v>
      </c>
      <c r="D113" s="254">
        <v>0.22090000000000001</v>
      </c>
      <c r="E113" s="254">
        <v>0.1734</v>
      </c>
      <c r="F113" s="256">
        <v>238.23</v>
      </c>
      <c r="G113" s="257">
        <v>2604020100.5025125</v>
      </c>
      <c r="H113" s="257">
        <v>869642404.26071537</v>
      </c>
      <c r="I113" s="257">
        <v>2591</v>
      </c>
      <c r="J113" s="257">
        <v>3429</v>
      </c>
      <c r="K113" s="257">
        <v>8360861.9498710912</v>
      </c>
      <c r="L113" s="257">
        <v>2340861.9498710912</v>
      </c>
      <c r="M113" s="257">
        <v>2340861.9498710912</v>
      </c>
      <c r="Q113" s="163"/>
      <c r="R113" s="125"/>
      <c r="S113" s="124"/>
      <c r="T113" s="205"/>
    </row>
    <row r="114" spans="1:20" x14ac:dyDescent="0.2">
      <c r="A114" s="254" t="s">
        <v>633</v>
      </c>
      <c r="B114" s="254" t="s">
        <v>358</v>
      </c>
      <c r="C114" s="254">
        <v>0.11588</v>
      </c>
      <c r="D114" s="254">
        <v>0.12408</v>
      </c>
      <c r="E114" s="254">
        <v>9.2119999999999994E-2</v>
      </c>
      <c r="F114" s="256">
        <v>251.51</v>
      </c>
      <c r="G114" s="257">
        <v>5412495685.1915779</v>
      </c>
      <c r="H114" s="257">
        <v>1067067530.064755</v>
      </c>
      <c r="I114" s="257">
        <v>6272</v>
      </c>
      <c r="J114" s="257">
        <v>2307</v>
      </c>
      <c r="K114" s="257">
        <v>14527264.184743095</v>
      </c>
      <c r="L114" s="257">
        <v>5948264.1847430952</v>
      </c>
      <c r="M114" s="257">
        <v>5948264.1847430952</v>
      </c>
      <c r="Q114" s="163"/>
      <c r="R114" s="125"/>
      <c r="S114" s="124"/>
      <c r="T114" s="205"/>
    </row>
    <row r="115" spans="1:20" x14ac:dyDescent="0.2">
      <c r="A115" s="254" t="s">
        <v>640</v>
      </c>
      <c r="B115" s="254" t="s">
        <v>404</v>
      </c>
      <c r="C115" s="254">
        <v>0.14680000000000001</v>
      </c>
      <c r="D115" s="254">
        <v>0.25669999999999998</v>
      </c>
      <c r="E115" s="254">
        <v>0.1963</v>
      </c>
      <c r="F115" s="256">
        <v>306.02999999999997</v>
      </c>
      <c r="G115" s="257">
        <v>3666893732.970027</v>
      </c>
      <c r="H115" s="257">
        <v>1121854304.6357617</v>
      </c>
      <c r="I115" s="257">
        <v>5383</v>
      </c>
      <c r="J115" s="257">
        <v>5082</v>
      </c>
      <c r="K115" s="257">
        <v>11377909.508814985</v>
      </c>
      <c r="L115" s="257">
        <v>912909.50881498493</v>
      </c>
      <c r="M115" s="257">
        <v>912909.50881498493</v>
      </c>
      <c r="Q115" s="163"/>
      <c r="R115" s="125"/>
      <c r="S115" s="124"/>
      <c r="T115" s="205"/>
    </row>
    <row r="116" spans="1:20" x14ac:dyDescent="0.2">
      <c r="A116" s="254" t="s">
        <v>629</v>
      </c>
      <c r="B116" s="254" t="s">
        <v>441</v>
      </c>
      <c r="C116" s="254">
        <v>0.1179</v>
      </c>
      <c r="D116" s="254">
        <v>0.23980000000000001</v>
      </c>
      <c r="E116" s="254">
        <v>0.1933</v>
      </c>
      <c r="F116" s="256">
        <v>306.64</v>
      </c>
      <c r="G116" s="257">
        <v>2631043256.9974551</v>
      </c>
      <c r="H116" s="257">
        <v>358577695.68229043</v>
      </c>
      <c r="I116" s="257">
        <v>3102</v>
      </c>
      <c r="J116" s="257">
        <v>1553</v>
      </c>
      <c r="K116" s="257">
        <v>6445282.39809692</v>
      </c>
      <c r="L116" s="257">
        <v>1790282.39809692</v>
      </c>
      <c r="M116" s="257">
        <v>1790282.39809692</v>
      </c>
      <c r="Q116" s="163"/>
      <c r="R116" s="125"/>
      <c r="S116" s="124"/>
      <c r="T116" s="205"/>
    </row>
    <row r="117" spans="1:20" x14ac:dyDescent="0.2">
      <c r="A117" s="254" t="s">
        <v>630</v>
      </c>
      <c r="B117" s="254" t="s">
        <v>586</v>
      </c>
      <c r="C117" s="254">
        <v>8.1600000000000006E-2</v>
      </c>
      <c r="D117" s="254">
        <v>0.13639999999999999</v>
      </c>
      <c r="E117" s="254">
        <v>0.1162</v>
      </c>
      <c r="F117" s="256">
        <v>301.83999999999997</v>
      </c>
      <c r="G117" s="257">
        <v>9613970588.2352924</v>
      </c>
      <c r="H117" s="257">
        <v>996041171.81314325</v>
      </c>
      <c r="I117" s="257">
        <v>7845</v>
      </c>
      <c r="J117" s="257">
        <v>2516</v>
      </c>
      <c r="K117" s="257">
        <v>22341651.89383354</v>
      </c>
      <c r="L117" s="257">
        <v>11980651.89383354</v>
      </c>
      <c r="M117" s="257">
        <v>11980651.89383354</v>
      </c>
      <c r="Q117" s="163"/>
      <c r="R117" s="125"/>
      <c r="S117" s="124"/>
      <c r="T117" s="205"/>
    </row>
    <row r="118" spans="1:20" x14ac:dyDescent="0.2">
      <c r="A118" s="254" t="s">
        <v>633</v>
      </c>
      <c r="B118" s="254" t="s">
        <v>359</v>
      </c>
      <c r="C118" s="254">
        <v>0.13159999999999999</v>
      </c>
      <c r="D118" s="254">
        <v>0.31059999999999999</v>
      </c>
      <c r="E118" s="254">
        <v>0.25269999999999998</v>
      </c>
      <c r="F118" s="256">
        <v>268.51</v>
      </c>
      <c r="G118" s="257">
        <v>3295592705.1671734</v>
      </c>
      <c r="H118" s="257">
        <v>970353275.34173632</v>
      </c>
      <c r="I118" s="257">
        <v>4337</v>
      </c>
      <c r="J118" s="257">
        <v>5466</v>
      </c>
      <c r="K118" s="257">
        <v>10079876.067512494</v>
      </c>
      <c r="L118" s="257">
        <v>276876.06751249358</v>
      </c>
      <c r="M118" s="257">
        <v>276876.06751249358</v>
      </c>
      <c r="Q118" s="163"/>
      <c r="R118" s="125"/>
      <c r="S118" s="124"/>
      <c r="T118" s="205"/>
    </row>
    <row r="119" spans="1:20" x14ac:dyDescent="0.2">
      <c r="A119" s="254" t="s">
        <v>633</v>
      </c>
      <c r="B119" s="254" t="s">
        <v>360</v>
      </c>
      <c r="C119" s="254">
        <v>0.1149</v>
      </c>
      <c r="D119" s="254">
        <v>0.31259999999999999</v>
      </c>
      <c r="E119" s="254">
        <v>0.2492</v>
      </c>
      <c r="F119" s="256">
        <v>214.1</v>
      </c>
      <c r="G119" s="257">
        <v>5987815491.7319403</v>
      </c>
      <c r="H119" s="257">
        <v>1521181915.2723389</v>
      </c>
      <c r="I119" s="257">
        <v>6880</v>
      </c>
      <c r="J119" s="257">
        <v>8546</v>
      </c>
      <c r="K119" s="257">
        <v>17383095.195382491</v>
      </c>
      <c r="L119" s="257">
        <v>1957095.1953824908</v>
      </c>
      <c r="M119" s="257">
        <v>1957095.1953824908</v>
      </c>
      <c r="Q119" s="163"/>
      <c r="R119" s="125"/>
      <c r="S119" s="124"/>
      <c r="T119" s="205"/>
    </row>
    <row r="120" spans="1:20" x14ac:dyDescent="0.2">
      <c r="A120" s="254" t="s">
        <v>629</v>
      </c>
      <c r="B120" s="254" t="s">
        <v>442</v>
      </c>
      <c r="C120" s="254">
        <v>0.16109999999999999</v>
      </c>
      <c r="D120" s="254">
        <v>0.249</v>
      </c>
      <c r="E120" s="254">
        <v>0.20119999999999999</v>
      </c>
      <c r="F120" s="256">
        <v>335.18</v>
      </c>
      <c r="G120" s="257">
        <v>1113594040.9683425</v>
      </c>
      <c r="H120" s="257">
        <v>202132385.60639715</v>
      </c>
      <c r="I120" s="257">
        <v>1794</v>
      </c>
      <c r="J120" s="257">
        <v>910</v>
      </c>
      <c r="K120" s="257">
        <v>2921878.2134486884</v>
      </c>
      <c r="L120" s="257">
        <v>217878.21344868839</v>
      </c>
      <c r="M120" s="257">
        <v>217878.21344868839</v>
      </c>
      <c r="Q120" s="163"/>
      <c r="R120" s="125"/>
      <c r="S120" s="124"/>
      <c r="T120" s="205"/>
    </row>
    <row r="121" spans="1:20" x14ac:dyDescent="0.2">
      <c r="A121" s="254" t="s">
        <v>637</v>
      </c>
      <c r="B121" s="254" t="s">
        <v>162</v>
      </c>
      <c r="C121" s="254">
        <v>0.1618</v>
      </c>
      <c r="D121" s="254">
        <v>0.49309999999999998</v>
      </c>
      <c r="E121" s="254">
        <v>0.39789999999999998</v>
      </c>
      <c r="F121" s="256">
        <v>270.54000000000002</v>
      </c>
      <c r="G121" s="257">
        <v>16417181705.809641</v>
      </c>
      <c r="H121" s="257">
        <v>5498877665.5443325</v>
      </c>
      <c r="I121" s="257">
        <v>26563</v>
      </c>
      <c r="J121" s="257">
        <v>48995</v>
      </c>
      <c r="K121" s="257">
        <v>52773753.79602924</v>
      </c>
      <c r="L121" s="257">
        <v>-22784246.20397076</v>
      </c>
      <c r="M121" s="257">
        <v>0</v>
      </c>
      <c r="Q121" s="163"/>
      <c r="R121" s="125"/>
      <c r="S121" s="124"/>
      <c r="T121" s="205"/>
    </row>
    <row r="122" spans="1:20" x14ac:dyDescent="0.2">
      <c r="A122" s="254" t="s">
        <v>637</v>
      </c>
      <c r="B122" s="254" t="s">
        <v>163</v>
      </c>
      <c r="C122" s="254">
        <v>0.13039999999999999</v>
      </c>
      <c r="D122" s="254">
        <v>0.23910000000000001</v>
      </c>
      <c r="E122" s="254">
        <v>0.18890000000000001</v>
      </c>
      <c r="F122" s="256">
        <v>260.82</v>
      </c>
      <c r="G122" s="257">
        <v>944785276.07361972</v>
      </c>
      <c r="H122" s="257">
        <v>168457943.9252336</v>
      </c>
      <c r="I122" s="257">
        <v>1232</v>
      </c>
      <c r="J122" s="257">
        <v>721</v>
      </c>
      <c r="K122" s="257">
        <v>2467274.7405538675</v>
      </c>
      <c r="L122" s="257">
        <v>514274.74055386754</v>
      </c>
      <c r="M122" s="257">
        <v>514274.74055386754</v>
      </c>
      <c r="Q122" s="163"/>
      <c r="R122" s="125"/>
      <c r="S122" s="124"/>
      <c r="T122" s="205"/>
    </row>
    <row r="123" spans="1:20" x14ac:dyDescent="0.2">
      <c r="A123" s="254" t="s">
        <v>638</v>
      </c>
      <c r="B123" s="254" t="s">
        <v>485</v>
      </c>
      <c r="C123" s="254">
        <v>0.17499999999999999</v>
      </c>
      <c r="D123" s="254">
        <v>0.32500000000000001</v>
      </c>
      <c r="E123" s="254">
        <v>0.25</v>
      </c>
      <c r="F123" s="256">
        <v>376.33</v>
      </c>
      <c r="G123" s="257">
        <v>1401142857.1428573</v>
      </c>
      <c r="H123" s="257">
        <v>251826086.95652175</v>
      </c>
      <c r="I123" s="257">
        <v>2452</v>
      </c>
      <c r="J123" s="257">
        <v>1448</v>
      </c>
      <c r="K123" s="257">
        <v>3666730.4347826093</v>
      </c>
      <c r="L123" s="257">
        <v>-233269.56521739066</v>
      </c>
      <c r="M123" s="257">
        <v>0</v>
      </c>
      <c r="Q123" s="163"/>
      <c r="R123" s="125"/>
      <c r="S123" s="124"/>
      <c r="T123" s="205"/>
    </row>
    <row r="124" spans="1:20" x14ac:dyDescent="0.2">
      <c r="A124" s="254" t="s">
        <v>634</v>
      </c>
      <c r="B124" s="254" t="s">
        <v>205</v>
      </c>
      <c r="C124" s="254">
        <v>0.13930000000000001</v>
      </c>
      <c r="D124" s="254">
        <v>0.23449999999999999</v>
      </c>
      <c r="E124" s="254">
        <v>0.18859999999999999</v>
      </c>
      <c r="F124" s="256">
        <v>307.13</v>
      </c>
      <c r="G124" s="257">
        <v>2169418521.1773148</v>
      </c>
      <c r="H124" s="257">
        <v>506026943.98487359</v>
      </c>
      <c r="I124" s="257">
        <v>3022</v>
      </c>
      <c r="J124" s="257">
        <v>2141</v>
      </c>
      <c r="K124" s="257">
        <v>6124334.3876080941</v>
      </c>
      <c r="L124" s="257">
        <v>961334.38760809414</v>
      </c>
      <c r="M124" s="257">
        <v>961334.38760809414</v>
      </c>
      <c r="Q124" s="163"/>
      <c r="R124" s="125"/>
      <c r="S124" s="124"/>
      <c r="T124" s="205"/>
    </row>
    <row r="125" spans="1:20" x14ac:dyDescent="0.2">
      <c r="A125" s="254" t="s">
        <v>629</v>
      </c>
      <c r="B125" s="254" t="s">
        <v>443</v>
      </c>
      <c r="C125" s="254">
        <v>0.1346</v>
      </c>
      <c r="D125" s="254">
        <v>0.22239999999999999</v>
      </c>
      <c r="E125" s="254">
        <v>0.16739999999999999</v>
      </c>
      <c r="F125" s="256">
        <v>427.93</v>
      </c>
      <c r="G125" s="257">
        <v>1763001485.8841012</v>
      </c>
      <c r="H125" s="257">
        <v>266803488.9687019</v>
      </c>
      <c r="I125" s="257">
        <v>2373</v>
      </c>
      <c r="J125" s="257">
        <v>1040</v>
      </c>
      <c r="K125" s="257">
        <v>4420971.2928563971</v>
      </c>
      <c r="L125" s="257">
        <v>1007971.2928563971</v>
      </c>
      <c r="M125" s="257">
        <v>1007971.2928563971</v>
      </c>
      <c r="Q125" s="163"/>
      <c r="R125" s="125"/>
      <c r="S125" s="124"/>
      <c r="T125" s="205"/>
    </row>
    <row r="126" spans="1:20" x14ac:dyDescent="0.2">
      <c r="A126" s="254" t="s">
        <v>630</v>
      </c>
      <c r="B126" s="254" t="s">
        <v>315</v>
      </c>
      <c r="C126" s="254">
        <v>9.8879999999999996E-2</v>
      </c>
      <c r="D126" s="254">
        <v>0.30753000000000003</v>
      </c>
      <c r="E126" s="254">
        <v>0.24457999999999999</v>
      </c>
      <c r="F126" s="256">
        <v>282.55</v>
      </c>
      <c r="G126" s="257">
        <v>21400687702.265373</v>
      </c>
      <c r="H126" s="257">
        <v>3552734056.6191521</v>
      </c>
      <c r="I126" s="257">
        <v>21161</v>
      </c>
      <c r="J126" s="257">
        <v>19615</v>
      </c>
      <c r="K126" s="257">
        <v>54874349.944844581</v>
      </c>
      <c r="L126" s="257">
        <v>14098349.944844581</v>
      </c>
      <c r="M126" s="257">
        <v>14098349.944844581</v>
      </c>
      <c r="Q126" s="163"/>
      <c r="R126" s="125"/>
      <c r="S126" s="124"/>
      <c r="T126" s="205"/>
    </row>
    <row r="127" spans="1:20" x14ac:dyDescent="0.2">
      <c r="A127" s="254" t="s">
        <v>630</v>
      </c>
      <c r="B127" s="254" t="s">
        <v>521</v>
      </c>
      <c r="C127" s="254">
        <v>0.13159999999999999</v>
      </c>
      <c r="D127" s="254">
        <v>0.2205</v>
      </c>
      <c r="E127" s="254">
        <v>0.16420000000000001</v>
      </c>
      <c r="F127" s="256">
        <v>410.79</v>
      </c>
      <c r="G127" s="257">
        <v>693009118.54103351</v>
      </c>
      <c r="H127" s="257">
        <v>131271120.35352221</v>
      </c>
      <c r="I127" s="257">
        <v>912</v>
      </c>
      <c r="J127" s="257">
        <v>505</v>
      </c>
      <c r="K127" s="257">
        <v>1839436.3665525501</v>
      </c>
      <c r="L127" s="257">
        <v>422436.36655255011</v>
      </c>
      <c r="M127" s="257">
        <v>422436.36655255011</v>
      </c>
      <c r="Q127" s="163"/>
      <c r="R127" s="125"/>
      <c r="S127" s="124"/>
      <c r="T127" s="205"/>
    </row>
    <row r="128" spans="1:20" x14ac:dyDescent="0.2">
      <c r="A128" s="254" t="s">
        <v>630</v>
      </c>
      <c r="B128" s="254" t="s">
        <v>316</v>
      </c>
      <c r="C128" s="254">
        <v>0.10155</v>
      </c>
      <c r="D128" s="254">
        <v>0.30206</v>
      </c>
      <c r="E128" s="254">
        <v>0.26515</v>
      </c>
      <c r="F128" s="256">
        <v>278.17</v>
      </c>
      <c r="G128" s="257">
        <v>16371245691.777451</v>
      </c>
      <c r="H128" s="257">
        <v>8340120942.8606682</v>
      </c>
      <c r="I128" s="257">
        <v>16625</v>
      </c>
      <c r="J128" s="257">
        <v>47306</v>
      </c>
      <c r="K128" s="257">
        <v>63624113.586685166</v>
      </c>
      <c r="L128" s="257">
        <v>-306886.41331483424</v>
      </c>
      <c r="M128" s="257">
        <v>0</v>
      </c>
      <c r="Q128" s="163"/>
      <c r="R128" s="125"/>
      <c r="S128" s="124"/>
      <c r="T128" s="205"/>
    </row>
    <row r="129" spans="1:20" x14ac:dyDescent="0.2">
      <c r="A129" s="254" t="s">
        <v>629</v>
      </c>
      <c r="B129" s="254" t="s">
        <v>444</v>
      </c>
      <c r="C129" s="254">
        <v>0.1115</v>
      </c>
      <c r="D129" s="254">
        <v>0.22239999999999999</v>
      </c>
      <c r="E129" s="254">
        <v>0.1986</v>
      </c>
      <c r="F129" s="256">
        <v>261.97000000000003</v>
      </c>
      <c r="G129" s="257">
        <v>3060089686.0986543</v>
      </c>
      <c r="H129" s="257">
        <v>753206650.8313539</v>
      </c>
      <c r="I129" s="257">
        <v>3412</v>
      </c>
      <c r="J129" s="257">
        <v>3171</v>
      </c>
      <c r="K129" s="257">
        <v>8790518.2514406219</v>
      </c>
      <c r="L129" s="257">
        <v>2207518.2514406219</v>
      </c>
      <c r="M129" s="257">
        <v>2207518.2514406219</v>
      </c>
      <c r="Q129" s="163"/>
      <c r="R129" s="125"/>
      <c r="S129" s="124"/>
      <c r="T129" s="205"/>
    </row>
    <row r="130" spans="1:20" x14ac:dyDescent="0.2">
      <c r="A130" s="254" t="s">
        <v>634</v>
      </c>
      <c r="B130" s="254" t="s">
        <v>206</v>
      </c>
      <c r="C130" s="254">
        <v>0.1241</v>
      </c>
      <c r="D130" s="254">
        <v>0.32900000000000001</v>
      </c>
      <c r="E130" s="254">
        <v>0.27879999999999999</v>
      </c>
      <c r="F130" s="256">
        <v>263.57</v>
      </c>
      <c r="G130" s="257">
        <v>4896051571.3134575</v>
      </c>
      <c r="H130" s="257">
        <v>1238071734.1230669</v>
      </c>
      <c r="I130" s="257">
        <v>6076</v>
      </c>
      <c r="J130" s="257">
        <v>7525</v>
      </c>
      <c r="K130" s="257">
        <v>14191475.451152213</v>
      </c>
      <c r="L130" s="257">
        <v>590475.45115221292</v>
      </c>
      <c r="M130" s="257">
        <v>590475.45115221292</v>
      </c>
      <c r="Q130" s="163"/>
      <c r="R130" s="125"/>
      <c r="S130" s="124"/>
      <c r="T130" s="205"/>
    </row>
    <row r="131" spans="1:20" x14ac:dyDescent="0.2">
      <c r="A131" s="254" t="s">
        <v>631</v>
      </c>
      <c r="B131" s="254" t="s">
        <v>242</v>
      </c>
      <c r="C131" s="254">
        <v>0.12345</v>
      </c>
      <c r="D131" s="254">
        <v>0.25040000000000001</v>
      </c>
      <c r="E131" s="254">
        <v>0.20100999999999999</v>
      </c>
      <c r="F131" s="256">
        <v>296.86</v>
      </c>
      <c r="G131" s="257">
        <v>4686107735.9254751</v>
      </c>
      <c r="H131" s="257">
        <v>919120090.38346517</v>
      </c>
      <c r="I131" s="257">
        <v>5785</v>
      </c>
      <c r="J131" s="257">
        <v>4149</v>
      </c>
      <c r="K131" s="257">
        <v>12559369.739632882</v>
      </c>
      <c r="L131" s="257">
        <v>2625369.7396328822</v>
      </c>
      <c r="M131" s="257">
        <v>2625369.7396328822</v>
      </c>
      <c r="Q131" s="163"/>
      <c r="R131" s="125"/>
      <c r="S131" s="124"/>
      <c r="T131" s="205"/>
    </row>
    <row r="132" spans="1:20" x14ac:dyDescent="0.2">
      <c r="A132" s="254" t="s">
        <v>633</v>
      </c>
      <c r="B132" s="254" t="s">
        <v>361</v>
      </c>
      <c r="C132" s="254">
        <v>0.13159999999999999</v>
      </c>
      <c r="D132" s="254">
        <v>0.21959999999999999</v>
      </c>
      <c r="E132" s="254">
        <v>0.16220000000000001</v>
      </c>
      <c r="F132" s="256">
        <v>301.39</v>
      </c>
      <c r="G132" s="257">
        <v>1618541033.4346507</v>
      </c>
      <c r="H132" s="257">
        <v>383708748.03562075</v>
      </c>
      <c r="I132" s="257">
        <v>2130</v>
      </c>
      <c r="J132" s="257">
        <v>1465</v>
      </c>
      <c r="K132" s="257">
        <v>4592970.1692988425</v>
      </c>
      <c r="L132" s="257">
        <v>997970.16929884255</v>
      </c>
      <c r="M132" s="257">
        <v>997970.16929884255</v>
      </c>
      <c r="Q132" s="163"/>
      <c r="R132" s="125"/>
      <c r="S132" s="124"/>
      <c r="T132" s="205"/>
    </row>
    <row r="133" spans="1:20" x14ac:dyDescent="0.2">
      <c r="A133" s="254" t="s">
        <v>637</v>
      </c>
      <c r="B133" s="254" t="s">
        <v>164</v>
      </c>
      <c r="C133" s="254">
        <v>0.16700000000000001</v>
      </c>
      <c r="D133" s="254">
        <v>0.25700000000000001</v>
      </c>
      <c r="E133" s="254">
        <v>0.20599999999999999</v>
      </c>
      <c r="F133" s="256">
        <v>484.97</v>
      </c>
      <c r="G133" s="257">
        <v>2614970059.8802395</v>
      </c>
      <c r="H133" s="257">
        <v>304535637.14902812</v>
      </c>
      <c r="I133" s="257">
        <v>4367</v>
      </c>
      <c r="J133" s="257">
        <v>1410</v>
      </c>
      <c r="K133" s="257">
        <v>6206279.5682932194</v>
      </c>
      <c r="L133" s="257">
        <v>429279.56829321943</v>
      </c>
      <c r="M133" s="257">
        <v>429279.56829321943</v>
      </c>
      <c r="Q133" s="163"/>
      <c r="R133" s="125"/>
      <c r="S133" s="124"/>
      <c r="T133" s="205"/>
    </row>
    <row r="134" spans="1:20" x14ac:dyDescent="0.2">
      <c r="A134" s="254" t="s">
        <v>632</v>
      </c>
      <c r="B134" s="254" t="s">
        <v>185</v>
      </c>
      <c r="C134" s="254">
        <v>0.13300000000000001</v>
      </c>
      <c r="D134" s="254">
        <v>0.30199999999999999</v>
      </c>
      <c r="E134" s="254">
        <v>0.22720000000000001</v>
      </c>
      <c r="F134" s="256">
        <v>207.26</v>
      </c>
      <c r="G134" s="257">
        <v>1144360902.2556391</v>
      </c>
      <c r="H134" s="257">
        <v>382086167.80045354</v>
      </c>
      <c r="I134" s="257">
        <v>1522</v>
      </c>
      <c r="J134" s="257">
        <v>2022</v>
      </c>
      <c r="K134" s="257">
        <v>3673926.4828738514</v>
      </c>
      <c r="L134" s="257">
        <v>129926.48287385143</v>
      </c>
      <c r="M134" s="257">
        <v>129926.48287385143</v>
      </c>
      <c r="Q134" s="163"/>
      <c r="R134" s="125"/>
      <c r="S134" s="124"/>
      <c r="T134" s="205"/>
    </row>
    <row r="135" spans="1:20" x14ac:dyDescent="0.2">
      <c r="A135" s="254" t="s">
        <v>634</v>
      </c>
      <c r="B135" s="254" t="s">
        <v>243</v>
      </c>
      <c r="C135" s="254">
        <v>0.1532</v>
      </c>
      <c r="D135" s="254">
        <v>0.27360000000000001</v>
      </c>
      <c r="E135" s="254">
        <v>0.18790000000000001</v>
      </c>
      <c r="F135" s="256">
        <v>406.2</v>
      </c>
      <c r="G135" s="257">
        <v>1342036553.5248041</v>
      </c>
      <c r="H135" s="257">
        <v>149512459.37161431</v>
      </c>
      <c r="I135" s="257">
        <v>2056</v>
      </c>
      <c r="J135" s="257">
        <v>690</v>
      </c>
      <c r="K135" s="257">
        <v>3159043.3341159634</v>
      </c>
      <c r="L135" s="257">
        <v>413043.33411596343</v>
      </c>
      <c r="M135" s="257">
        <v>413043.33411596343</v>
      </c>
      <c r="Q135" s="163"/>
      <c r="R135" s="125"/>
      <c r="S135" s="124"/>
      <c r="T135" s="205"/>
    </row>
    <row r="136" spans="1:20" x14ac:dyDescent="0.2">
      <c r="A136" s="254" t="s">
        <v>630</v>
      </c>
      <c r="B136" s="254" t="s">
        <v>317</v>
      </c>
      <c r="C136" s="254">
        <v>0.1101</v>
      </c>
      <c r="D136" s="254">
        <v>0.17100000000000001</v>
      </c>
      <c r="E136" s="254">
        <v>0.13600000000000001</v>
      </c>
      <c r="F136" s="256">
        <v>253.22</v>
      </c>
      <c r="G136" s="257">
        <v>3966394187.102634</v>
      </c>
      <c r="H136" s="257">
        <v>424755700.32573283</v>
      </c>
      <c r="I136" s="257">
        <v>4367</v>
      </c>
      <c r="J136" s="257">
        <v>1304</v>
      </c>
      <c r="K136" s="257">
        <v>9270618.2564266417</v>
      </c>
      <c r="L136" s="257">
        <v>3599618.2564266417</v>
      </c>
      <c r="M136" s="257">
        <v>3599618.2564266417</v>
      </c>
      <c r="Q136" s="163"/>
      <c r="R136" s="125"/>
      <c r="S136" s="124"/>
      <c r="T136" s="205"/>
    </row>
    <row r="137" spans="1:20" x14ac:dyDescent="0.2">
      <c r="A137" s="254" t="s">
        <v>630</v>
      </c>
      <c r="B137" s="254" t="s">
        <v>318</v>
      </c>
      <c r="C137" s="254">
        <v>8.8700000000000001E-2</v>
      </c>
      <c r="D137" s="254">
        <v>0.21099999999999999</v>
      </c>
      <c r="E137" s="254">
        <v>0.1691</v>
      </c>
      <c r="F137" s="256">
        <v>401.71</v>
      </c>
      <c r="G137" s="257">
        <v>5457722660.6538897</v>
      </c>
      <c r="H137" s="257">
        <v>353328071.56011575</v>
      </c>
      <c r="I137" s="257">
        <v>4841</v>
      </c>
      <c r="J137" s="257">
        <v>1343</v>
      </c>
      <c r="K137" s="257">
        <v>11866429.197265184</v>
      </c>
      <c r="L137" s="257">
        <v>5682429.1972651836</v>
      </c>
      <c r="M137" s="257">
        <v>5682429.1972651836</v>
      </c>
      <c r="Q137" s="163"/>
      <c r="R137" s="125"/>
      <c r="S137" s="124"/>
      <c r="T137" s="205"/>
    </row>
    <row r="138" spans="1:20" x14ac:dyDescent="0.2">
      <c r="A138" s="254" t="s">
        <v>631</v>
      </c>
      <c r="B138" s="254" t="s">
        <v>244</v>
      </c>
      <c r="C138" s="254">
        <v>0.15759999999999999</v>
      </c>
      <c r="D138" s="254">
        <v>0.27039999999999997</v>
      </c>
      <c r="E138" s="254">
        <v>0.21829999999999999</v>
      </c>
      <c r="F138" s="256">
        <v>409.49</v>
      </c>
      <c r="G138" s="257">
        <v>1958756345.177665</v>
      </c>
      <c r="H138" s="257">
        <v>273378350.72641701</v>
      </c>
      <c r="I138" s="257">
        <v>3087</v>
      </c>
      <c r="J138" s="257">
        <v>1336</v>
      </c>
      <c r="K138" s="257">
        <v>4823112.6147637106</v>
      </c>
      <c r="L138" s="257">
        <v>400112.61476371065</v>
      </c>
      <c r="M138" s="257">
        <v>400112.61476371065</v>
      </c>
      <c r="Q138" s="163"/>
      <c r="R138" s="125"/>
      <c r="S138" s="124"/>
      <c r="T138" s="205"/>
    </row>
    <row r="139" spans="1:20" x14ac:dyDescent="0.2">
      <c r="A139" s="254" t="s">
        <v>632</v>
      </c>
      <c r="B139" s="254" t="s">
        <v>186</v>
      </c>
      <c r="C139" s="254">
        <v>0.1517</v>
      </c>
      <c r="D139" s="254">
        <v>0.36030000000000001</v>
      </c>
      <c r="E139" s="254">
        <v>0.28960000000000002</v>
      </c>
      <c r="F139" s="256">
        <v>303.82</v>
      </c>
      <c r="G139" s="257">
        <v>4516150296.6381016</v>
      </c>
      <c r="H139" s="257">
        <v>1190952454.2237267</v>
      </c>
      <c r="I139" s="257">
        <v>6851</v>
      </c>
      <c r="J139" s="257">
        <v>7740</v>
      </c>
      <c r="K139" s="257">
        <v>13278756.269789694</v>
      </c>
      <c r="L139" s="257">
        <v>-1312243.7302103061</v>
      </c>
      <c r="M139" s="257">
        <v>0</v>
      </c>
      <c r="Q139" s="163"/>
      <c r="R139" s="125"/>
      <c r="S139" s="124"/>
      <c r="T139" s="205"/>
    </row>
    <row r="140" spans="1:20" x14ac:dyDescent="0.2">
      <c r="A140" s="254" t="s">
        <v>630</v>
      </c>
      <c r="B140" s="254" t="s">
        <v>319</v>
      </c>
      <c r="C140" s="254">
        <v>0.11638</v>
      </c>
      <c r="D140" s="254">
        <v>0.29043999999999998</v>
      </c>
      <c r="E140" s="254">
        <v>0.25905</v>
      </c>
      <c r="F140" s="256">
        <v>245.62</v>
      </c>
      <c r="G140" s="257">
        <v>4896889499.9140749</v>
      </c>
      <c r="H140" s="257">
        <v>1093923456.2958379</v>
      </c>
      <c r="I140" s="257">
        <v>5699</v>
      </c>
      <c r="J140" s="257">
        <v>6011</v>
      </c>
      <c r="K140" s="257">
        <v>13638117.594073571</v>
      </c>
      <c r="L140" s="257">
        <v>1928117.5940735713</v>
      </c>
      <c r="M140" s="257">
        <v>1928117.5940735713</v>
      </c>
      <c r="Q140" s="163"/>
      <c r="R140" s="125"/>
      <c r="S140" s="124"/>
      <c r="T140" s="205"/>
    </row>
    <row r="141" spans="1:20" x14ac:dyDescent="0.2">
      <c r="A141" s="254" t="s">
        <v>638</v>
      </c>
      <c r="B141" s="254" t="s">
        <v>486</v>
      </c>
      <c r="C141" s="254">
        <v>0.22319600000000001</v>
      </c>
      <c r="D141" s="254">
        <v>0.29819899999999999</v>
      </c>
      <c r="E141" s="254">
        <v>0.22186900000000001</v>
      </c>
      <c r="F141" s="256">
        <v>290.43</v>
      </c>
      <c r="G141" s="257">
        <v>5860320077.420743</v>
      </c>
      <c r="H141" s="257">
        <v>1990508933.4471645</v>
      </c>
      <c r="I141" s="257">
        <v>13080</v>
      </c>
      <c r="J141" s="257">
        <v>10352</v>
      </c>
      <c r="K141" s="257">
        <v>18944575.542806514</v>
      </c>
      <c r="L141" s="257">
        <v>-4487424.4571934864</v>
      </c>
      <c r="M141" s="257">
        <v>0</v>
      </c>
      <c r="Q141" s="163"/>
      <c r="R141" s="125"/>
      <c r="S141" s="124"/>
      <c r="T141" s="205"/>
    </row>
    <row r="142" spans="1:20" x14ac:dyDescent="0.2">
      <c r="A142" s="254" t="s">
        <v>629</v>
      </c>
      <c r="B142" s="254" t="s">
        <v>445</v>
      </c>
      <c r="C142" s="254">
        <v>0.11310000000000001</v>
      </c>
      <c r="D142" s="254">
        <v>0.16919999999999999</v>
      </c>
      <c r="E142" s="254">
        <v>0.1547</v>
      </c>
      <c r="F142" s="256">
        <v>365.93</v>
      </c>
      <c r="G142" s="257">
        <v>2132625994.6949601</v>
      </c>
      <c r="H142" s="257">
        <v>394874961.40784198</v>
      </c>
      <c r="I142" s="257">
        <v>2412</v>
      </c>
      <c r="J142" s="257">
        <v>1279</v>
      </c>
      <c r="K142" s="257">
        <v>5625573.6412079893</v>
      </c>
      <c r="L142" s="257">
        <v>1934573.6412079893</v>
      </c>
      <c r="M142" s="257">
        <v>1934573.6412079893</v>
      </c>
      <c r="Q142" s="163"/>
      <c r="R142" s="125"/>
      <c r="S142" s="124"/>
      <c r="T142" s="205"/>
    </row>
    <row r="143" spans="1:20" x14ac:dyDescent="0.2">
      <c r="A143" s="254" t="s">
        <v>630</v>
      </c>
      <c r="B143" s="254" t="s">
        <v>320</v>
      </c>
      <c r="C143" s="254">
        <v>8.7400000000000005E-2</v>
      </c>
      <c r="D143" s="254">
        <v>0.14979999999999999</v>
      </c>
      <c r="E143" s="254">
        <v>0.13</v>
      </c>
      <c r="F143" s="256">
        <v>267.70999999999998</v>
      </c>
      <c r="G143" s="257">
        <v>3114416475.9725399</v>
      </c>
      <c r="H143" s="257">
        <v>353109363.83130807</v>
      </c>
      <c r="I143" s="257">
        <v>2722</v>
      </c>
      <c r="J143" s="257">
        <v>988</v>
      </c>
      <c r="K143" s="257">
        <v>7354722.7669976754</v>
      </c>
      <c r="L143" s="257">
        <v>3644722.7669976754</v>
      </c>
      <c r="M143" s="257">
        <v>3644722.7669976754</v>
      </c>
      <c r="Q143" s="163"/>
      <c r="R143" s="125"/>
      <c r="S143" s="124"/>
      <c r="T143" s="205"/>
    </row>
    <row r="144" spans="1:20" x14ac:dyDescent="0.2">
      <c r="A144" s="254" t="s">
        <v>634</v>
      </c>
      <c r="B144" s="254" t="s">
        <v>207</v>
      </c>
      <c r="C144" s="254">
        <v>0.14760000000000001</v>
      </c>
      <c r="D144" s="254">
        <v>0.28820000000000001</v>
      </c>
      <c r="E144" s="254">
        <v>0.2351</v>
      </c>
      <c r="F144" s="256">
        <v>341.2</v>
      </c>
      <c r="G144" s="257">
        <v>3382791327.9132791</v>
      </c>
      <c r="H144" s="257">
        <v>572711637.68392897</v>
      </c>
      <c r="I144" s="257">
        <v>4993</v>
      </c>
      <c r="J144" s="257">
        <v>2997</v>
      </c>
      <c r="K144" s="257">
        <v>8716813.1113161892</v>
      </c>
      <c r="L144" s="257">
        <v>726813.11131618917</v>
      </c>
      <c r="M144" s="257">
        <v>726813.11131618917</v>
      </c>
      <c r="Q144" s="163"/>
      <c r="R144" s="125"/>
      <c r="S144" s="124"/>
      <c r="T144" s="205"/>
    </row>
    <row r="145" spans="1:20" x14ac:dyDescent="0.2">
      <c r="A145" s="254" t="s">
        <v>633</v>
      </c>
      <c r="B145" s="254" t="s">
        <v>362</v>
      </c>
      <c r="C145" s="254">
        <v>9.74E-2</v>
      </c>
      <c r="D145" s="254">
        <v>0.22</v>
      </c>
      <c r="E145" s="254">
        <v>0.12570000000000001</v>
      </c>
      <c r="F145" s="256">
        <v>194.56</v>
      </c>
      <c r="G145" s="257">
        <v>3527720739.2197123</v>
      </c>
      <c r="H145" s="257">
        <v>459936361.00665319</v>
      </c>
      <c r="I145" s="257">
        <v>3436</v>
      </c>
      <c r="J145" s="257">
        <v>1590</v>
      </c>
      <c r="K145" s="257">
        <v>8561617.4128735606</v>
      </c>
      <c r="L145" s="257">
        <v>3535617.4128735606</v>
      </c>
      <c r="M145" s="257">
        <v>3535617.4128735606</v>
      </c>
      <c r="Q145" s="163"/>
      <c r="R145" s="125"/>
      <c r="S145" s="124"/>
      <c r="T145" s="205"/>
    </row>
    <row r="146" spans="1:20" x14ac:dyDescent="0.2">
      <c r="A146" s="254" t="s">
        <v>629</v>
      </c>
      <c r="B146" s="254" t="s">
        <v>446</v>
      </c>
      <c r="C146" s="254">
        <v>0.16650000000000001</v>
      </c>
      <c r="D146" s="254">
        <v>0.23549999999999999</v>
      </c>
      <c r="E146" s="254">
        <v>0.18840000000000001</v>
      </c>
      <c r="F146" s="256">
        <v>339.89</v>
      </c>
      <c r="G146" s="257">
        <v>8164564564.5645647</v>
      </c>
      <c r="H146" s="257">
        <v>1985609813.6352916</v>
      </c>
      <c r="I146" s="257">
        <v>13594</v>
      </c>
      <c r="J146" s="257">
        <v>8417</v>
      </c>
      <c r="K146" s="257">
        <v>23361384.569282658</v>
      </c>
      <c r="L146" s="257">
        <v>1350384.5692826584</v>
      </c>
      <c r="M146" s="257">
        <v>1350384.5692826584</v>
      </c>
      <c r="Q146" s="163"/>
      <c r="R146" s="125"/>
      <c r="S146" s="124"/>
      <c r="T146" s="205"/>
    </row>
    <row r="147" spans="1:20" x14ac:dyDescent="0.2">
      <c r="A147" s="254" t="s">
        <v>633</v>
      </c>
      <c r="B147" s="254" t="s">
        <v>363</v>
      </c>
      <c r="C147" s="254">
        <v>0.12920000000000001</v>
      </c>
      <c r="D147" s="254">
        <v>0.25790000000000002</v>
      </c>
      <c r="E147" s="254">
        <v>0.20730000000000001</v>
      </c>
      <c r="F147" s="256">
        <v>299.81</v>
      </c>
      <c r="G147" s="257">
        <v>2810371517.0278635</v>
      </c>
      <c r="H147" s="257">
        <v>354471195.18486667</v>
      </c>
      <c r="I147" s="257">
        <v>3631</v>
      </c>
      <c r="J147" s="257">
        <v>1649</v>
      </c>
      <c r="K147" s="257">
        <v>6774679.2717403742</v>
      </c>
      <c r="L147" s="257">
        <v>1494679.2717403742</v>
      </c>
      <c r="M147" s="257">
        <v>1494679.2717403742</v>
      </c>
      <c r="Q147" s="163"/>
      <c r="R147" s="125"/>
      <c r="S147" s="124"/>
      <c r="T147" s="205"/>
    </row>
    <row r="148" spans="1:20" x14ac:dyDescent="0.2">
      <c r="A148" s="254" t="s">
        <v>634</v>
      </c>
      <c r="B148" s="254" t="s">
        <v>529</v>
      </c>
      <c r="C148" s="254">
        <v>0.15859999999999999</v>
      </c>
      <c r="D148" s="254">
        <v>0.39589999999999997</v>
      </c>
      <c r="E148" s="254">
        <v>0.31690000000000002</v>
      </c>
      <c r="F148" s="256">
        <v>277.91000000000003</v>
      </c>
      <c r="G148" s="257">
        <v>6516393442.6229506</v>
      </c>
      <c r="H148" s="257">
        <v>1891273849.607183</v>
      </c>
      <c r="I148" s="257">
        <v>10335</v>
      </c>
      <c r="J148" s="257">
        <v>13481</v>
      </c>
      <c r="K148" s="257">
        <v>19825461.698036835</v>
      </c>
      <c r="L148" s="257">
        <v>-3990538.3019631654</v>
      </c>
      <c r="M148" s="257">
        <v>0</v>
      </c>
      <c r="Q148" s="163"/>
      <c r="R148" s="125"/>
      <c r="S148" s="124"/>
      <c r="T148" s="205"/>
    </row>
    <row r="149" spans="1:20" x14ac:dyDescent="0.2">
      <c r="A149" s="254" t="s">
        <v>631</v>
      </c>
      <c r="B149" s="254" t="s">
        <v>245</v>
      </c>
      <c r="C149" s="254">
        <v>0.1797</v>
      </c>
      <c r="D149" s="254">
        <v>0.31490000000000001</v>
      </c>
      <c r="E149" s="254">
        <v>0.2374</v>
      </c>
      <c r="F149" s="256">
        <v>492</v>
      </c>
      <c r="G149" s="257">
        <v>1898720089.0372844</v>
      </c>
      <c r="H149" s="257">
        <v>228680065.1819663</v>
      </c>
      <c r="I149" s="257">
        <v>3412</v>
      </c>
      <c r="J149" s="257">
        <v>1263</v>
      </c>
      <c r="K149" s="257">
        <v>4535454.4223473426</v>
      </c>
      <c r="L149" s="257">
        <v>-139545.5776526574</v>
      </c>
      <c r="M149" s="257">
        <v>0</v>
      </c>
      <c r="Q149" s="163"/>
      <c r="R149" s="125"/>
      <c r="S149" s="124"/>
      <c r="T149" s="205"/>
    </row>
    <row r="150" spans="1:20" x14ac:dyDescent="0.2">
      <c r="A150" s="254" t="s">
        <v>629</v>
      </c>
      <c r="B150" s="254" t="s">
        <v>447</v>
      </c>
      <c r="C150" s="254">
        <v>0.1171</v>
      </c>
      <c r="D150" s="254">
        <v>0.24743000000000001</v>
      </c>
      <c r="E150" s="254">
        <v>0.15440999999999999</v>
      </c>
      <c r="F150" s="256">
        <v>311.48</v>
      </c>
      <c r="G150" s="257">
        <v>4789069171.6481638</v>
      </c>
      <c r="H150" s="257">
        <v>759755126.41847503</v>
      </c>
      <c r="I150" s="257">
        <v>5608</v>
      </c>
      <c r="J150" s="257">
        <v>3053</v>
      </c>
      <c r="K150" s="257">
        <v>12144015.392133845</v>
      </c>
      <c r="L150" s="257">
        <v>3483015.392133845</v>
      </c>
      <c r="M150" s="257">
        <v>3483015.392133845</v>
      </c>
      <c r="Q150" s="163"/>
      <c r="R150" s="125"/>
      <c r="S150" s="124"/>
      <c r="T150" s="205"/>
    </row>
    <row r="151" spans="1:20" x14ac:dyDescent="0.2">
      <c r="A151" s="254" t="s">
        <v>633</v>
      </c>
      <c r="B151" s="254" t="s">
        <v>364</v>
      </c>
      <c r="C151" s="254">
        <v>0.1047</v>
      </c>
      <c r="D151" s="254">
        <v>0.2031</v>
      </c>
      <c r="E151" s="254">
        <v>0.1444</v>
      </c>
      <c r="F151" s="256">
        <v>249.35</v>
      </c>
      <c r="G151" s="257">
        <v>2392550143.2664757</v>
      </c>
      <c r="H151" s="257">
        <v>349640287.76978415</v>
      </c>
      <c r="I151" s="257">
        <v>2505</v>
      </c>
      <c r="J151" s="257">
        <v>1215</v>
      </c>
      <c r="K151" s="257">
        <v>5951774.1337016346</v>
      </c>
      <c r="L151" s="257">
        <v>2231774.1337016346</v>
      </c>
      <c r="M151" s="257">
        <v>2231774.1337016346</v>
      </c>
      <c r="Q151" s="163"/>
      <c r="R151" s="125"/>
      <c r="S151" s="124"/>
      <c r="T151" s="205"/>
    </row>
    <row r="152" spans="1:20" x14ac:dyDescent="0.2">
      <c r="A152" s="254" t="s">
        <v>629</v>
      </c>
      <c r="B152" s="254" t="s">
        <v>448</v>
      </c>
      <c r="C152" s="254">
        <v>0.11749999999999999</v>
      </c>
      <c r="D152" s="254">
        <v>0.16370000000000001</v>
      </c>
      <c r="E152" s="254">
        <v>0.1368</v>
      </c>
      <c r="F152" s="256">
        <v>351.65</v>
      </c>
      <c r="G152" s="257">
        <v>1932765957.4468088</v>
      </c>
      <c r="H152" s="257">
        <v>367387687.18801999</v>
      </c>
      <c r="I152" s="257">
        <v>2271</v>
      </c>
      <c r="J152" s="257">
        <v>1104</v>
      </c>
      <c r="K152" s="257">
        <v>5135017.0637589842</v>
      </c>
      <c r="L152" s="257">
        <v>1760017.0637589842</v>
      </c>
      <c r="M152" s="257">
        <v>1760017.0637589842</v>
      </c>
      <c r="Q152" s="163"/>
      <c r="R152" s="125"/>
      <c r="S152" s="124"/>
      <c r="T152" s="205"/>
    </row>
    <row r="153" spans="1:20" x14ac:dyDescent="0.2">
      <c r="A153" s="254" t="s">
        <v>630</v>
      </c>
      <c r="B153" s="254" t="s">
        <v>321</v>
      </c>
      <c r="C153" s="254">
        <v>9.06E-2</v>
      </c>
      <c r="D153" s="254">
        <v>0.27439999999999998</v>
      </c>
      <c r="E153" s="254">
        <v>0.17480000000000001</v>
      </c>
      <c r="F153" s="256">
        <v>254.49</v>
      </c>
      <c r="G153" s="257">
        <v>11706401766.004416</v>
      </c>
      <c r="H153" s="257">
        <v>2363980409.6170974</v>
      </c>
      <c r="I153" s="257">
        <v>10606</v>
      </c>
      <c r="J153" s="257">
        <v>10619</v>
      </c>
      <c r="K153" s="257">
        <v>31636147.976584323</v>
      </c>
      <c r="L153" s="257">
        <v>10411147.976584323</v>
      </c>
      <c r="M153" s="257">
        <v>10411147.976584323</v>
      </c>
      <c r="Q153" s="163"/>
      <c r="R153" s="125"/>
      <c r="S153" s="124"/>
      <c r="T153" s="205"/>
    </row>
    <row r="154" spans="1:20" x14ac:dyDescent="0.2">
      <c r="A154" s="254" t="s">
        <v>634</v>
      </c>
      <c r="B154" s="254" t="s">
        <v>208</v>
      </c>
      <c r="C154" s="254">
        <v>0.11799999999999999</v>
      </c>
      <c r="D154" s="254">
        <v>0.20780000000000001</v>
      </c>
      <c r="E154" s="254">
        <v>0.18160000000000001</v>
      </c>
      <c r="F154" s="256">
        <v>272.14</v>
      </c>
      <c r="G154" s="257">
        <v>3339830508.474577</v>
      </c>
      <c r="H154" s="257">
        <v>822804314.32973802</v>
      </c>
      <c r="I154" s="257">
        <v>3941</v>
      </c>
      <c r="J154" s="257">
        <v>3204</v>
      </c>
      <c r="K154" s="257">
        <v>9596970.3389830515</v>
      </c>
      <c r="L154" s="257">
        <v>2451970.3389830515</v>
      </c>
      <c r="M154" s="257">
        <v>2451970.3389830515</v>
      </c>
      <c r="Q154" s="163"/>
      <c r="R154" s="125"/>
      <c r="S154" s="105"/>
      <c r="T154" s="205"/>
    </row>
    <row r="155" spans="1:20" x14ac:dyDescent="0.2">
      <c r="A155" s="254" t="s">
        <v>630</v>
      </c>
      <c r="B155" s="254" t="s">
        <v>322</v>
      </c>
      <c r="C155" s="254">
        <v>0.12509999999999999</v>
      </c>
      <c r="D155" s="254">
        <v>0.1817</v>
      </c>
      <c r="E155" s="254">
        <v>0.1467</v>
      </c>
      <c r="F155" s="256">
        <v>256.23</v>
      </c>
      <c r="G155" s="257">
        <v>4051159072.7418065</v>
      </c>
      <c r="H155" s="257">
        <v>1447015834.3483555</v>
      </c>
      <c r="I155" s="257">
        <v>5068</v>
      </c>
      <c r="J155" s="257">
        <v>4752</v>
      </c>
      <c r="K155" s="257">
        <v>13369492.177269146</v>
      </c>
      <c r="L155" s="257">
        <v>3549492.1772691458</v>
      </c>
      <c r="M155" s="257">
        <v>3549492.1772691458</v>
      </c>
      <c r="Q155" s="163"/>
      <c r="R155" s="125"/>
      <c r="S155" s="124"/>
      <c r="T155" s="205"/>
    </row>
    <row r="156" spans="1:20" x14ac:dyDescent="0.2">
      <c r="A156" s="254" t="s">
        <v>628</v>
      </c>
      <c r="B156" s="254" t="s">
        <v>148</v>
      </c>
      <c r="C156" s="254">
        <v>0.15939999999999999</v>
      </c>
      <c r="D156" s="254">
        <v>0.27400000000000002</v>
      </c>
      <c r="E156" s="254">
        <v>0.20860000000000001</v>
      </c>
      <c r="F156" s="256">
        <v>267.88</v>
      </c>
      <c r="G156" s="257">
        <v>4060853199.4981179</v>
      </c>
      <c r="H156" s="257">
        <v>888934935.76460826</v>
      </c>
      <c r="I156" s="257">
        <v>6473</v>
      </c>
      <c r="J156" s="257">
        <v>4290</v>
      </c>
      <c r="K156" s="257">
        <v>11239541.911727618</v>
      </c>
      <c r="L156" s="257">
        <v>476541.91172761843</v>
      </c>
      <c r="M156" s="257">
        <v>476541.91172761843</v>
      </c>
      <c r="Q156" s="163"/>
      <c r="R156" s="125"/>
      <c r="S156" s="124"/>
      <c r="T156" s="205"/>
    </row>
    <row r="157" spans="1:20" x14ac:dyDescent="0.2">
      <c r="A157" s="254" t="s">
        <v>630</v>
      </c>
      <c r="B157" s="254" t="s">
        <v>323</v>
      </c>
      <c r="C157" s="254">
        <v>0.11055</v>
      </c>
      <c r="D157" s="254">
        <v>0.17473</v>
      </c>
      <c r="E157" s="254">
        <v>0.14208999999999999</v>
      </c>
      <c r="F157" s="256">
        <v>210.8</v>
      </c>
      <c r="G157" s="257">
        <v>6668475802.8041611</v>
      </c>
      <c r="H157" s="257">
        <v>1094627864.4024999</v>
      </c>
      <c r="I157" s="257">
        <v>7372</v>
      </c>
      <c r="J157" s="257">
        <v>3468</v>
      </c>
      <c r="K157" s="257">
        <v>17051133.198347636</v>
      </c>
      <c r="L157" s="257">
        <v>6211133.1983476356</v>
      </c>
      <c r="M157" s="257">
        <v>6211133.1983476356</v>
      </c>
      <c r="Q157" s="163"/>
      <c r="R157" s="125"/>
      <c r="S157" s="124"/>
      <c r="T157" s="205"/>
    </row>
    <row r="158" spans="1:20" x14ac:dyDescent="0.2">
      <c r="A158" s="254" t="s">
        <v>638</v>
      </c>
      <c r="B158" s="254" t="s">
        <v>487</v>
      </c>
      <c r="C158" s="254">
        <v>0.161</v>
      </c>
      <c r="D158" s="254">
        <v>0.2175</v>
      </c>
      <c r="E158" s="254">
        <v>0.17380000000000001</v>
      </c>
      <c r="F158" s="256">
        <v>391.97</v>
      </c>
      <c r="G158" s="257">
        <v>4180745341.6149068</v>
      </c>
      <c r="H158" s="257">
        <v>1020189113.2123691</v>
      </c>
      <c r="I158" s="257">
        <v>6731</v>
      </c>
      <c r="J158" s="257">
        <v>3992</v>
      </c>
      <c r="K158" s="257">
        <v>11975662.868476316</v>
      </c>
      <c r="L158" s="257">
        <v>1252662.8684763163</v>
      </c>
      <c r="M158" s="257">
        <v>1252662.8684763163</v>
      </c>
      <c r="Q158" s="163"/>
      <c r="R158" s="125"/>
      <c r="S158" s="124"/>
      <c r="T158" s="205"/>
    </row>
    <row r="159" spans="1:20" x14ac:dyDescent="0.2">
      <c r="A159" s="254" t="s">
        <v>636</v>
      </c>
      <c r="B159" s="254" t="s">
        <v>283</v>
      </c>
      <c r="C159" s="254">
        <v>0.12559999999999999</v>
      </c>
      <c r="D159" s="254">
        <v>0.33539999999999998</v>
      </c>
      <c r="E159" s="254">
        <v>0.24590000000000001</v>
      </c>
      <c r="F159" s="256">
        <v>378.85</v>
      </c>
      <c r="G159" s="257">
        <v>5865445859.872612</v>
      </c>
      <c r="H159" s="257">
        <v>864785824.87527966</v>
      </c>
      <c r="I159" s="257">
        <v>7367</v>
      </c>
      <c r="J159" s="257">
        <v>5027</v>
      </c>
      <c r="K159" s="257">
        <v>14620408.706024606</v>
      </c>
      <c r="L159" s="257">
        <v>2226408.7060246058</v>
      </c>
      <c r="M159" s="257">
        <v>2226408.7060246058</v>
      </c>
      <c r="Q159" s="163"/>
      <c r="R159" s="125"/>
      <c r="S159" s="124"/>
      <c r="T159" s="205"/>
    </row>
    <row r="160" spans="1:20" x14ac:dyDescent="0.2">
      <c r="A160" s="254" t="s">
        <v>630</v>
      </c>
      <c r="B160" s="254" t="s">
        <v>324</v>
      </c>
      <c r="C160" s="254">
        <v>5.5100000000000003E-2</v>
      </c>
      <c r="D160" s="254">
        <v>0.1285</v>
      </c>
      <c r="E160" s="254">
        <v>0.106</v>
      </c>
      <c r="F160" s="256">
        <v>156.82</v>
      </c>
      <c r="G160" s="257">
        <v>5301270417.4228668</v>
      </c>
      <c r="H160" s="257">
        <v>538166311.30063975</v>
      </c>
      <c r="I160" s="257">
        <v>2921</v>
      </c>
      <c r="J160" s="257">
        <v>1262</v>
      </c>
      <c r="K160" s="257">
        <v>12276885.852046482</v>
      </c>
      <c r="L160" s="257">
        <v>8093885.8520464823</v>
      </c>
      <c r="M160" s="257">
        <v>8093885.8520464823</v>
      </c>
      <c r="Q160" s="163"/>
      <c r="R160" s="125"/>
      <c r="S160" s="105"/>
      <c r="T160" s="205"/>
    </row>
    <row r="161" spans="1:20" x14ac:dyDescent="0.2">
      <c r="A161" s="254" t="s">
        <v>640</v>
      </c>
      <c r="B161" s="254" t="s">
        <v>405</v>
      </c>
      <c r="C161" s="254">
        <v>0.1149</v>
      </c>
      <c r="D161" s="254">
        <v>0.183</v>
      </c>
      <c r="E161" s="254">
        <v>0.15310000000000001</v>
      </c>
      <c r="F161" s="256">
        <v>221.95</v>
      </c>
      <c r="G161" s="257">
        <v>2473455178.4160137</v>
      </c>
      <c r="H161" s="257">
        <v>495090746.80154711</v>
      </c>
      <c r="I161" s="257">
        <v>2842</v>
      </c>
      <c r="J161" s="257">
        <v>1664</v>
      </c>
      <c r="K161" s="257">
        <v>6667500.5936367828</v>
      </c>
      <c r="L161" s="257">
        <v>2161500.5936367828</v>
      </c>
      <c r="M161" s="257">
        <v>2161500.5936367828</v>
      </c>
      <c r="Q161" s="163"/>
      <c r="R161" s="125"/>
      <c r="S161" s="105"/>
      <c r="T161" s="205"/>
    </row>
    <row r="162" spans="1:20" x14ac:dyDescent="0.2">
      <c r="A162" s="254" t="s">
        <v>636</v>
      </c>
      <c r="B162" s="254" t="s">
        <v>284</v>
      </c>
      <c r="C162" s="254">
        <v>0.1022</v>
      </c>
      <c r="D162" s="254">
        <v>0.18210000000000001</v>
      </c>
      <c r="E162" s="254">
        <v>0.14599999999999999</v>
      </c>
      <c r="F162" s="256">
        <v>248.58</v>
      </c>
      <c r="G162" s="257">
        <v>3623287671.2328773</v>
      </c>
      <c r="H162" s="257">
        <v>384029259.37214261</v>
      </c>
      <c r="I162" s="257">
        <v>3703</v>
      </c>
      <c r="J162" s="257">
        <v>1260</v>
      </c>
      <c r="K162" s="257">
        <v>8453341.4157060385</v>
      </c>
      <c r="L162" s="257">
        <v>3490341.4157060385</v>
      </c>
      <c r="M162" s="257">
        <v>3490341.4157060385</v>
      </c>
      <c r="Q162" s="163"/>
      <c r="R162" s="125"/>
      <c r="S162" s="124"/>
      <c r="T162" s="205"/>
    </row>
    <row r="163" spans="1:20" x14ac:dyDescent="0.2">
      <c r="A163" s="254" t="s">
        <v>633</v>
      </c>
      <c r="B163" s="254" t="s">
        <v>365</v>
      </c>
      <c r="C163" s="254">
        <v>0.1181</v>
      </c>
      <c r="D163" s="254">
        <v>0.17419999999999999</v>
      </c>
      <c r="E163" s="254">
        <v>0.1628</v>
      </c>
      <c r="F163" s="256">
        <v>322.7</v>
      </c>
      <c r="G163" s="257">
        <v>3105842506.3505507</v>
      </c>
      <c r="H163" s="257">
        <v>481305637.98219591</v>
      </c>
      <c r="I163" s="257">
        <v>3668</v>
      </c>
      <c r="J163" s="257">
        <v>1622</v>
      </c>
      <c r="K163" s="257">
        <v>7831773.5309562646</v>
      </c>
      <c r="L163" s="257">
        <v>2541773.5309562646</v>
      </c>
      <c r="M163" s="257">
        <v>2541773.5309562646</v>
      </c>
      <c r="Q163" s="163"/>
      <c r="R163" s="125"/>
      <c r="S163" s="124"/>
      <c r="T163" s="205"/>
    </row>
    <row r="164" spans="1:20" x14ac:dyDescent="0.2">
      <c r="A164" s="254" t="s">
        <v>634</v>
      </c>
      <c r="B164" s="254" t="s">
        <v>209</v>
      </c>
      <c r="C164" s="254">
        <v>0.13270000000000001</v>
      </c>
      <c r="D164" s="254">
        <v>0.16830000000000001</v>
      </c>
      <c r="E164" s="254">
        <v>0.12939999999999999</v>
      </c>
      <c r="F164" s="256">
        <v>272.48</v>
      </c>
      <c r="G164" s="257">
        <v>4335342878.6737003</v>
      </c>
      <c r="H164" s="257">
        <v>1109842122.9425597</v>
      </c>
      <c r="I164" s="257">
        <v>5753</v>
      </c>
      <c r="J164" s="257">
        <v>3304</v>
      </c>
      <c r="K164" s="257">
        <v>12618427.214775728</v>
      </c>
      <c r="L164" s="257">
        <v>3561427.2147757281</v>
      </c>
      <c r="M164" s="257">
        <v>3561427.2147757281</v>
      </c>
      <c r="Q164" s="163"/>
      <c r="R164" s="125"/>
      <c r="S164" s="124"/>
      <c r="T164" s="205"/>
    </row>
    <row r="165" spans="1:20" x14ac:dyDescent="0.2">
      <c r="A165" s="254" t="s">
        <v>640</v>
      </c>
      <c r="B165" s="254" t="s">
        <v>406</v>
      </c>
      <c r="C165" s="254">
        <v>0.111</v>
      </c>
      <c r="D165" s="254">
        <v>0.23430000000000001</v>
      </c>
      <c r="E165" s="254">
        <v>0.18909999999999999</v>
      </c>
      <c r="F165" s="256">
        <v>256.49</v>
      </c>
      <c r="G165" s="257">
        <v>1228828828.8288288</v>
      </c>
      <c r="H165" s="257">
        <v>259329239.48984411</v>
      </c>
      <c r="I165" s="257">
        <v>1364</v>
      </c>
      <c r="J165" s="257">
        <v>1098</v>
      </c>
      <c r="K165" s="257">
        <v>3363913.0675313952</v>
      </c>
      <c r="L165" s="257">
        <v>901913.06753139524</v>
      </c>
      <c r="M165" s="257">
        <v>901913.06753139524</v>
      </c>
      <c r="Q165" s="163"/>
      <c r="R165" s="125"/>
      <c r="S165" s="124"/>
      <c r="T165" s="205"/>
    </row>
    <row r="166" spans="1:20" x14ac:dyDescent="0.2">
      <c r="A166" s="254" t="s">
        <v>633</v>
      </c>
      <c r="B166" s="254" t="s">
        <v>366</v>
      </c>
      <c r="C166" s="254">
        <v>9.0800000000000006E-2</v>
      </c>
      <c r="D166" s="254">
        <v>0.29599999999999999</v>
      </c>
      <c r="E166" s="254">
        <v>8.7499999999999994E-2</v>
      </c>
      <c r="F166" s="256">
        <v>238.92</v>
      </c>
      <c r="G166" s="257">
        <v>6832599118.9427309</v>
      </c>
      <c r="H166" s="257">
        <v>1114993481.0951762</v>
      </c>
      <c r="I166" s="257">
        <v>6204</v>
      </c>
      <c r="J166" s="257">
        <v>4276</v>
      </c>
      <c r="K166" s="257">
        <v>17445478.206181187</v>
      </c>
      <c r="L166" s="257">
        <v>6965478.2061811872</v>
      </c>
      <c r="M166" s="257">
        <v>6965478.2061811872</v>
      </c>
      <c r="Q166" s="163"/>
      <c r="R166" s="125"/>
      <c r="S166" s="124"/>
      <c r="T166" s="205"/>
    </row>
    <row r="167" spans="1:20" x14ac:dyDescent="0.2">
      <c r="A167" s="254" t="s">
        <v>638</v>
      </c>
      <c r="B167" s="254" t="s">
        <v>488</v>
      </c>
      <c r="C167" s="254">
        <v>0.1948</v>
      </c>
      <c r="D167" s="254">
        <v>0.3957</v>
      </c>
      <c r="E167" s="254">
        <v>0.31209999999999999</v>
      </c>
      <c r="F167" s="256">
        <v>262.10000000000002</v>
      </c>
      <c r="G167" s="257">
        <v>3123203285.4209442</v>
      </c>
      <c r="H167" s="257">
        <v>617547329.7541678</v>
      </c>
      <c r="I167" s="257">
        <v>6084</v>
      </c>
      <c r="J167" s="257">
        <v>4371</v>
      </c>
      <c r="K167" s="257">
        <v>8389723.5439888649</v>
      </c>
      <c r="L167" s="257">
        <v>-2065276.4560111351</v>
      </c>
      <c r="M167" s="257">
        <v>0</v>
      </c>
      <c r="Q167" s="163"/>
      <c r="R167" s="125"/>
      <c r="S167" s="124"/>
      <c r="T167" s="205"/>
    </row>
    <row r="168" spans="1:20" x14ac:dyDescent="0.2">
      <c r="A168" s="254" t="s">
        <v>630</v>
      </c>
      <c r="B168" s="254" t="s">
        <v>325</v>
      </c>
      <c r="C168" s="254">
        <v>8.3900000000000002E-2</v>
      </c>
      <c r="D168" s="254">
        <v>0.12620000000000001</v>
      </c>
      <c r="E168" s="254">
        <v>0.10340000000000001</v>
      </c>
      <c r="F168" s="256">
        <v>203.39</v>
      </c>
      <c r="G168" s="257">
        <v>2158522050.0595946</v>
      </c>
      <c r="H168" s="257">
        <v>428571428.57142854</v>
      </c>
      <c r="I168" s="257">
        <v>1811</v>
      </c>
      <c r="J168" s="257">
        <v>984</v>
      </c>
      <c r="K168" s="257">
        <v>5805154.9463647194</v>
      </c>
      <c r="L168" s="257">
        <v>3010154.9463647194</v>
      </c>
      <c r="M168" s="257">
        <v>3010154.9463647194</v>
      </c>
      <c r="Q168" s="163"/>
      <c r="R168" s="125"/>
      <c r="S168" s="124"/>
      <c r="T168" s="205"/>
    </row>
    <row r="169" spans="1:20" x14ac:dyDescent="0.2">
      <c r="A169" s="254" t="s">
        <v>632</v>
      </c>
      <c r="B169" s="254" t="s">
        <v>517</v>
      </c>
      <c r="C169" s="254">
        <v>0.1502</v>
      </c>
      <c r="D169" s="254">
        <v>0.23910000000000001</v>
      </c>
      <c r="E169" s="254">
        <v>0.18990000000000001</v>
      </c>
      <c r="F169" s="256">
        <v>257.14</v>
      </c>
      <c r="G169" s="257">
        <v>904127829.56058586</v>
      </c>
      <c r="H169" s="257">
        <v>217715617.71561769</v>
      </c>
      <c r="I169" s="257">
        <v>1358</v>
      </c>
      <c r="J169" s="257">
        <v>934</v>
      </c>
      <c r="K169" s="257">
        <v>2578651.200109256</v>
      </c>
      <c r="L169" s="257">
        <v>286651.20010925597</v>
      </c>
      <c r="M169" s="257">
        <v>286651.20010925597</v>
      </c>
      <c r="Q169" s="163"/>
      <c r="R169" s="125"/>
      <c r="S169" s="124"/>
      <c r="T169" s="205"/>
    </row>
    <row r="170" spans="1:20" x14ac:dyDescent="0.2">
      <c r="A170" s="254" t="s">
        <v>633</v>
      </c>
      <c r="B170" s="254" t="s">
        <v>367</v>
      </c>
      <c r="C170" s="254">
        <v>0.13109999999999999</v>
      </c>
      <c r="D170" s="254">
        <v>0.22559999999999999</v>
      </c>
      <c r="E170" s="254">
        <v>0.18890000000000001</v>
      </c>
      <c r="F170" s="256">
        <v>306.48</v>
      </c>
      <c r="G170" s="257">
        <v>1049580472.9214342</v>
      </c>
      <c r="H170" s="257">
        <v>121109770.80820267</v>
      </c>
      <c r="I170" s="257">
        <v>1376</v>
      </c>
      <c r="J170" s="257">
        <v>502</v>
      </c>
      <c r="K170" s="257">
        <v>2486715.0279853409</v>
      </c>
      <c r="L170" s="257">
        <v>608715.02798534092</v>
      </c>
      <c r="M170" s="257">
        <v>608715.02798534092</v>
      </c>
      <c r="Q170" s="163"/>
      <c r="R170" s="125"/>
      <c r="S170" s="124"/>
      <c r="T170" s="205"/>
    </row>
    <row r="171" spans="1:20" x14ac:dyDescent="0.2">
      <c r="A171" s="254" t="s">
        <v>633</v>
      </c>
      <c r="B171" s="254" t="s">
        <v>368</v>
      </c>
      <c r="C171" s="254">
        <v>0.1278</v>
      </c>
      <c r="D171" s="254">
        <v>0.28179999999999999</v>
      </c>
      <c r="E171" s="254">
        <v>0.22550000000000001</v>
      </c>
      <c r="F171" s="256">
        <v>292.26</v>
      </c>
      <c r="G171" s="257">
        <v>2888106416.2754302</v>
      </c>
      <c r="H171" s="257">
        <v>458111571.06248772</v>
      </c>
      <c r="I171" s="257">
        <v>3691</v>
      </c>
      <c r="J171" s="257">
        <v>2324</v>
      </c>
      <c r="K171" s="257">
        <v>7323334.3999207802</v>
      </c>
      <c r="L171" s="257">
        <v>1308334.3999207802</v>
      </c>
      <c r="M171" s="257">
        <v>1308334.3999207802</v>
      </c>
      <c r="Q171" s="163"/>
      <c r="R171" s="125"/>
      <c r="S171" s="124"/>
      <c r="T171" s="205"/>
    </row>
    <row r="172" spans="1:20" x14ac:dyDescent="0.2">
      <c r="A172" s="254" t="s">
        <v>633</v>
      </c>
      <c r="B172" s="254" t="s">
        <v>567</v>
      </c>
      <c r="C172" s="254">
        <v>0.124</v>
      </c>
      <c r="D172" s="254">
        <v>0.2535</v>
      </c>
      <c r="E172" s="254">
        <v>0.21929999999999999</v>
      </c>
      <c r="F172" s="256">
        <v>303.18</v>
      </c>
      <c r="G172" s="257">
        <v>5730645161.2903223</v>
      </c>
      <c r="H172" s="257">
        <v>986252115.05922174</v>
      </c>
      <c r="I172" s="257">
        <v>7106</v>
      </c>
      <c r="J172" s="257">
        <v>4663</v>
      </c>
      <c r="K172" s="257">
        <v>14828562.578461874</v>
      </c>
      <c r="L172" s="257">
        <v>3059562.5784618743</v>
      </c>
      <c r="M172" s="257">
        <v>3059562.5784618743</v>
      </c>
      <c r="Q172" s="163"/>
      <c r="R172" s="125"/>
      <c r="S172" s="124"/>
      <c r="T172" s="205"/>
    </row>
    <row r="173" spans="1:20" x14ac:dyDescent="0.2">
      <c r="A173" s="254" t="s">
        <v>629</v>
      </c>
      <c r="B173" s="254" t="s">
        <v>449</v>
      </c>
      <c r="C173" s="254">
        <v>0.11235000000000001</v>
      </c>
      <c r="D173" s="254">
        <v>0.18343000000000001</v>
      </c>
      <c r="E173" s="254">
        <v>0.15165999999999999</v>
      </c>
      <c r="F173" s="256">
        <v>282.14</v>
      </c>
      <c r="G173" s="257">
        <v>2268802848.2421002</v>
      </c>
      <c r="H173" s="257">
        <v>463756005.84917486</v>
      </c>
      <c r="I173" s="257">
        <v>2549</v>
      </c>
      <c r="J173" s="257">
        <v>1554</v>
      </c>
      <c r="K173" s="257">
        <v>6152906.1053853668</v>
      </c>
      <c r="L173" s="257">
        <v>2049906.1053853668</v>
      </c>
      <c r="M173" s="257">
        <v>2049906.1053853668</v>
      </c>
      <c r="Q173" s="163"/>
      <c r="R173" s="125"/>
      <c r="S173" s="124"/>
      <c r="T173" s="205"/>
    </row>
    <row r="174" spans="1:20" x14ac:dyDescent="0.2">
      <c r="A174" s="254" t="s">
        <v>629</v>
      </c>
      <c r="B174" s="254" t="s">
        <v>450</v>
      </c>
      <c r="C174" s="254">
        <v>0.10082000000000001</v>
      </c>
      <c r="D174" s="254">
        <v>0.28376000000000001</v>
      </c>
      <c r="E174" s="254">
        <v>0.21437</v>
      </c>
      <c r="F174" s="256">
        <v>290.16000000000003</v>
      </c>
      <c r="G174" s="257">
        <v>1728823646.1019638</v>
      </c>
      <c r="H174" s="257">
        <v>301326962.84102541</v>
      </c>
      <c r="I174" s="257">
        <v>1743</v>
      </c>
      <c r="J174" s="257">
        <v>1501</v>
      </c>
      <c r="K174" s="257">
        <v>4488094.325684228</v>
      </c>
      <c r="L174" s="257">
        <v>1244094.325684228</v>
      </c>
      <c r="M174" s="257">
        <v>1244094.325684228</v>
      </c>
      <c r="Q174" s="163"/>
      <c r="R174" s="125"/>
      <c r="S174" s="124"/>
      <c r="T174" s="205"/>
    </row>
    <row r="175" spans="1:20" x14ac:dyDescent="0.2">
      <c r="A175" s="254" t="s">
        <v>638</v>
      </c>
      <c r="B175" s="254" t="s">
        <v>489</v>
      </c>
      <c r="C175" s="254">
        <v>0.179068</v>
      </c>
      <c r="D175" s="254">
        <v>0.26950600000000002</v>
      </c>
      <c r="E175" s="254">
        <v>0.215036</v>
      </c>
      <c r="F175" s="256">
        <v>288.73</v>
      </c>
      <c r="G175" s="257">
        <v>2850872294.3239441</v>
      </c>
      <c r="H175" s="257">
        <v>474468673.51024264</v>
      </c>
      <c r="I175" s="257">
        <v>5105</v>
      </c>
      <c r="J175" s="257">
        <v>2299</v>
      </c>
      <c r="K175" s="257">
        <v>7314633.5595880263</v>
      </c>
      <c r="L175" s="257">
        <v>-89366.440411973745</v>
      </c>
      <c r="M175" s="257">
        <v>0</v>
      </c>
      <c r="Q175" s="163"/>
      <c r="R175" s="125"/>
      <c r="S175" s="124"/>
      <c r="T175" s="205"/>
    </row>
    <row r="176" spans="1:20" x14ac:dyDescent="0.2">
      <c r="A176" s="254" t="s">
        <v>630</v>
      </c>
      <c r="B176" s="254" t="s">
        <v>326</v>
      </c>
      <c r="C176" s="254">
        <v>0.10123</v>
      </c>
      <c r="D176" s="254">
        <v>0.26699000000000001</v>
      </c>
      <c r="E176" s="254">
        <v>0.22891</v>
      </c>
      <c r="F176" s="256">
        <v>352.36</v>
      </c>
      <c r="G176" s="257">
        <v>1638842240.4425564</v>
      </c>
      <c r="H176" s="257">
        <v>94777172.817100227</v>
      </c>
      <c r="I176" s="257">
        <v>1659</v>
      </c>
      <c r="J176" s="257">
        <v>470</v>
      </c>
      <c r="K176" s="257">
        <v>3519663.4281977569</v>
      </c>
      <c r="L176" s="257">
        <v>1390663.4281977569</v>
      </c>
      <c r="M176" s="257">
        <v>1390663.4281977569</v>
      </c>
      <c r="Q176" s="163"/>
      <c r="R176" s="125"/>
      <c r="S176" s="124"/>
      <c r="T176" s="205"/>
    </row>
    <row r="177" spans="1:20" x14ac:dyDescent="0.2">
      <c r="A177" s="254" t="s">
        <v>630</v>
      </c>
      <c r="B177" s="254" t="s">
        <v>327</v>
      </c>
      <c r="C177" s="254">
        <v>0.11358</v>
      </c>
      <c r="D177" s="254">
        <v>0.20776</v>
      </c>
      <c r="E177" s="254">
        <v>0.18362000000000001</v>
      </c>
      <c r="F177" s="256">
        <v>287.11</v>
      </c>
      <c r="G177" s="257">
        <v>2883430181.3699598</v>
      </c>
      <c r="H177" s="257">
        <v>431038888.03720164</v>
      </c>
      <c r="I177" s="257">
        <v>3275</v>
      </c>
      <c r="J177" s="257">
        <v>1687</v>
      </c>
      <c r="K177" s="257">
        <v>7210102.8180803992</v>
      </c>
      <c r="L177" s="257">
        <v>2248102.8180803992</v>
      </c>
      <c r="M177" s="257">
        <v>2248102.8180803992</v>
      </c>
      <c r="Q177" s="163"/>
      <c r="R177" s="125"/>
      <c r="S177" s="124"/>
      <c r="T177" s="205"/>
    </row>
    <row r="178" spans="1:20" x14ac:dyDescent="0.2">
      <c r="A178" s="254" t="s">
        <v>633</v>
      </c>
      <c r="B178" s="254" t="s">
        <v>369</v>
      </c>
      <c r="C178" s="254">
        <v>0.13189999999999999</v>
      </c>
      <c r="D178" s="254">
        <v>0.2472</v>
      </c>
      <c r="E178" s="254">
        <v>0.1981</v>
      </c>
      <c r="F178" s="256">
        <v>381.33</v>
      </c>
      <c r="G178" s="257">
        <v>6674753601.2130413</v>
      </c>
      <c r="H178" s="257">
        <v>1670334605.8836739</v>
      </c>
      <c r="I178" s="257">
        <v>8804</v>
      </c>
      <c r="J178" s="257">
        <v>7438</v>
      </c>
      <c r="K178" s="257">
        <v>19279688.914987251</v>
      </c>
      <c r="L178" s="257">
        <v>3037688.9149872512</v>
      </c>
      <c r="M178" s="257">
        <v>3037688.9149872512</v>
      </c>
      <c r="Q178" s="163"/>
      <c r="R178" s="125"/>
      <c r="S178" s="124"/>
      <c r="T178" s="205"/>
    </row>
    <row r="179" spans="1:20" x14ac:dyDescent="0.2">
      <c r="A179" s="254" t="s">
        <v>630</v>
      </c>
      <c r="B179" s="254" t="s">
        <v>328</v>
      </c>
      <c r="C179" s="254">
        <v>0.1089</v>
      </c>
      <c r="D179" s="254">
        <v>0.19670000000000001</v>
      </c>
      <c r="E179" s="254">
        <v>0.12470000000000001</v>
      </c>
      <c r="F179" s="256">
        <v>641.62</v>
      </c>
      <c r="G179" s="257">
        <v>3033976124.8852162</v>
      </c>
      <c r="H179" s="257">
        <v>287803360.29869318</v>
      </c>
      <c r="I179" s="257">
        <v>3304</v>
      </c>
      <c r="J179" s="257">
        <v>925</v>
      </c>
      <c r="K179" s="257">
        <v>6948446.9775540102</v>
      </c>
      <c r="L179" s="257">
        <v>2719446.9775540102</v>
      </c>
      <c r="M179" s="257">
        <v>2719446.9775540102</v>
      </c>
      <c r="Q179" s="163"/>
      <c r="R179" s="125"/>
      <c r="S179" s="124"/>
      <c r="T179" s="205"/>
    </row>
    <row r="180" spans="1:20" x14ac:dyDescent="0.2">
      <c r="A180" s="254" t="s">
        <v>637</v>
      </c>
      <c r="B180" s="254" t="s">
        <v>166</v>
      </c>
      <c r="C180" s="254">
        <v>0.1666</v>
      </c>
      <c r="D180" s="254">
        <v>0.23369999999999999</v>
      </c>
      <c r="E180" s="254">
        <v>0.17319999999999999</v>
      </c>
      <c r="F180" s="256">
        <v>324.48</v>
      </c>
      <c r="G180" s="257">
        <v>1645258103.2412965</v>
      </c>
      <c r="H180" s="257">
        <v>331531088.71958715</v>
      </c>
      <c r="I180" s="257">
        <v>2741</v>
      </c>
      <c r="J180" s="257">
        <v>1349</v>
      </c>
      <c r="K180" s="257">
        <v>4443516.540309906</v>
      </c>
      <c r="L180" s="257">
        <v>353516.54030990601</v>
      </c>
      <c r="M180" s="257">
        <v>353516.54030990601</v>
      </c>
      <c r="Q180" s="163"/>
      <c r="R180" s="125"/>
      <c r="S180" s="124"/>
      <c r="T180" s="205"/>
    </row>
    <row r="181" spans="1:20" x14ac:dyDescent="0.2">
      <c r="A181" s="254" t="s">
        <v>633</v>
      </c>
      <c r="B181" s="254" t="s">
        <v>370</v>
      </c>
      <c r="C181" s="254">
        <v>0.159</v>
      </c>
      <c r="D181" s="254">
        <v>0.34610000000000002</v>
      </c>
      <c r="E181" s="254">
        <v>0.27400000000000002</v>
      </c>
      <c r="F181" s="256">
        <v>342.61</v>
      </c>
      <c r="G181" s="257">
        <v>1863522012.5786164</v>
      </c>
      <c r="H181" s="257">
        <v>341074020.31930327</v>
      </c>
      <c r="I181" s="257">
        <v>2963</v>
      </c>
      <c r="J181" s="257">
        <v>2115</v>
      </c>
      <c r="K181" s="257">
        <v>4900414.852443154</v>
      </c>
      <c r="L181" s="257">
        <v>-177585.14755684603</v>
      </c>
      <c r="M181" s="257">
        <v>0</v>
      </c>
      <c r="Q181" s="163"/>
      <c r="R181" s="125"/>
      <c r="S181" s="124"/>
      <c r="T181" s="205"/>
    </row>
    <row r="182" spans="1:20" x14ac:dyDescent="0.2">
      <c r="A182" s="254" t="s">
        <v>632</v>
      </c>
      <c r="B182" s="254" t="s">
        <v>187</v>
      </c>
      <c r="C182" s="254">
        <v>0.15275</v>
      </c>
      <c r="D182" s="254">
        <v>0.43448999999999999</v>
      </c>
      <c r="E182" s="254">
        <v>0.34759000000000001</v>
      </c>
      <c r="F182" s="256">
        <v>224.91</v>
      </c>
      <c r="G182" s="257">
        <v>9266121112.9296227</v>
      </c>
      <c r="H182" s="257">
        <v>2766596767.5941081</v>
      </c>
      <c r="I182" s="257">
        <v>14154</v>
      </c>
      <c r="J182" s="257">
        <v>21637</v>
      </c>
      <c r="K182" s="257">
        <v>28488680.697626844</v>
      </c>
      <c r="L182" s="257">
        <v>-7302319.302373156</v>
      </c>
      <c r="M182" s="257">
        <v>0</v>
      </c>
      <c r="Q182" s="163"/>
      <c r="R182" s="125"/>
      <c r="S182" s="124"/>
      <c r="T182" s="205"/>
    </row>
    <row r="183" spans="1:20" x14ac:dyDescent="0.2">
      <c r="A183" s="254" t="s">
        <v>633</v>
      </c>
      <c r="B183" s="254" t="s">
        <v>371</v>
      </c>
      <c r="C183" s="254">
        <v>0.14884</v>
      </c>
      <c r="D183" s="254">
        <v>0.46478999999999998</v>
      </c>
      <c r="E183" s="254">
        <v>0.46422000000000002</v>
      </c>
      <c r="F183" s="256">
        <v>351.73</v>
      </c>
      <c r="G183" s="257">
        <v>14086938994.893847</v>
      </c>
      <c r="H183" s="257">
        <v>2908687742.8660617</v>
      </c>
      <c r="I183" s="257">
        <v>20967</v>
      </c>
      <c r="J183" s="257">
        <v>27022</v>
      </c>
      <c r="K183" s="257">
        <v>38315805.375204995</v>
      </c>
      <c r="L183" s="257">
        <v>-9673194.6247950047</v>
      </c>
      <c r="M183" s="257">
        <v>0</v>
      </c>
      <c r="Q183" s="163"/>
      <c r="R183" s="125"/>
      <c r="S183" s="124"/>
      <c r="T183" s="205"/>
    </row>
    <row r="184" spans="1:20" x14ac:dyDescent="0.2">
      <c r="A184" s="254" t="s">
        <v>633</v>
      </c>
      <c r="B184" s="254" t="s">
        <v>372</v>
      </c>
      <c r="C184" s="254">
        <v>0.157</v>
      </c>
      <c r="D184" s="254">
        <v>0.34250000000000003</v>
      </c>
      <c r="E184" s="254">
        <v>0.26640000000000003</v>
      </c>
      <c r="F184" s="256">
        <v>406.83</v>
      </c>
      <c r="G184" s="257">
        <v>3129299363.0573249</v>
      </c>
      <c r="H184" s="257">
        <v>430119888.32320577</v>
      </c>
      <c r="I184" s="257">
        <v>4913</v>
      </c>
      <c r="J184" s="257">
        <v>2619</v>
      </c>
      <c r="K184" s="257">
        <v>7679862.8439296931</v>
      </c>
      <c r="L184" s="257">
        <v>147862.8439296931</v>
      </c>
      <c r="M184" s="257">
        <v>147862.8439296931</v>
      </c>
      <c r="Q184" s="163"/>
      <c r="R184" s="125"/>
      <c r="S184" s="124"/>
      <c r="T184" s="205"/>
    </row>
    <row r="185" spans="1:20" x14ac:dyDescent="0.2">
      <c r="A185" s="254" t="s">
        <v>633</v>
      </c>
      <c r="B185" s="254" t="s">
        <v>373</v>
      </c>
      <c r="C185" s="254">
        <v>8.7599999999999997E-2</v>
      </c>
      <c r="D185" s="254">
        <v>0.3468</v>
      </c>
      <c r="E185" s="254">
        <v>0</v>
      </c>
      <c r="F185" s="256">
        <v>217.99</v>
      </c>
      <c r="G185" s="257">
        <v>9324200913.2420101</v>
      </c>
      <c r="H185" s="257">
        <v>806805074.97116494</v>
      </c>
      <c r="I185" s="257">
        <v>8168</v>
      </c>
      <c r="J185" s="257">
        <v>2798</v>
      </c>
      <c r="K185" s="257">
        <v>21055286.296629857</v>
      </c>
      <c r="L185" s="257">
        <v>10089286.296629857</v>
      </c>
      <c r="M185" s="257">
        <v>10089286.296629857</v>
      </c>
      <c r="Q185" s="163"/>
      <c r="R185" s="125"/>
      <c r="S185" s="124"/>
      <c r="T185" s="205"/>
    </row>
    <row r="186" spans="1:20" x14ac:dyDescent="0.2">
      <c r="A186" s="254" t="s">
        <v>635</v>
      </c>
      <c r="B186" s="254" t="s">
        <v>513</v>
      </c>
      <c r="C186" s="254">
        <v>0.1923</v>
      </c>
      <c r="D186" s="254">
        <v>0.70269999999999999</v>
      </c>
      <c r="E186" s="254">
        <v>0</v>
      </c>
      <c r="F186" s="256">
        <v>325.05</v>
      </c>
      <c r="G186" s="257">
        <v>5423296931.8772755</v>
      </c>
      <c r="H186" s="257">
        <v>1719937384.3745551</v>
      </c>
      <c r="I186" s="257">
        <v>10429</v>
      </c>
      <c r="J186" s="257">
        <v>12086</v>
      </c>
      <c r="K186" s="257">
        <v>17061605.523705792</v>
      </c>
      <c r="L186" s="257">
        <v>-5453394.4762942083</v>
      </c>
      <c r="M186" s="257">
        <v>0</v>
      </c>
      <c r="Q186" s="163"/>
      <c r="R186" s="125"/>
      <c r="S186" s="124"/>
      <c r="T186" s="205"/>
    </row>
    <row r="187" spans="1:20" x14ac:dyDescent="0.2">
      <c r="A187" s="254" t="s">
        <v>638</v>
      </c>
      <c r="B187" s="254" t="s">
        <v>490</v>
      </c>
      <c r="C187" s="254">
        <v>0.1143</v>
      </c>
      <c r="D187" s="254">
        <v>0.1384</v>
      </c>
      <c r="E187" s="254">
        <v>0.1384</v>
      </c>
      <c r="F187" s="256">
        <v>252.92</v>
      </c>
      <c r="G187" s="257">
        <v>3325459317.5853019</v>
      </c>
      <c r="H187" s="257">
        <v>881864161.84971094</v>
      </c>
      <c r="I187" s="257">
        <v>3801</v>
      </c>
      <c r="J187" s="257">
        <v>2441</v>
      </c>
      <c r="K187" s="257">
        <v>9796686.209473094</v>
      </c>
      <c r="L187" s="257">
        <v>3554686.209473094</v>
      </c>
      <c r="M187" s="257">
        <v>3554686.209473094</v>
      </c>
      <c r="Q187" s="163"/>
      <c r="R187" s="125"/>
      <c r="S187" s="124"/>
      <c r="T187" s="205"/>
    </row>
    <row r="188" spans="1:20" x14ac:dyDescent="0.2">
      <c r="A188" s="254" t="s">
        <v>636</v>
      </c>
      <c r="B188" s="254" t="s">
        <v>285</v>
      </c>
      <c r="C188" s="254">
        <v>0.1104</v>
      </c>
      <c r="D188" s="254">
        <v>0.26069999999999999</v>
      </c>
      <c r="E188" s="254">
        <v>0.21010000000000001</v>
      </c>
      <c r="F188" s="256">
        <v>324.55</v>
      </c>
      <c r="G188" s="257">
        <v>3660326086.956522</v>
      </c>
      <c r="H188" s="257">
        <v>535259133.38997447</v>
      </c>
      <c r="I188" s="257">
        <v>4041</v>
      </c>
      <c r="J188" s="257">
        <v>2520</v>
      </c>
      <c r="K188" s="257">
        <v>9106875.380942706</v>
      </c>
      <c r="L188" s="257">
        <v>2545875.380942706</v>
      </c>
      <c r="M188" s="257">
        <v>2545875.380942706</v>
      </c>
      <c r="Q188" s="163"/>
      <c r="R188" s="125"/>
      <c r="S188" s="124"/>
      <c r="T188" s="205"/>
    </row>
    <row r="189" spans="1:20" x14ac:dyDescent="0.2">
      <c r="A189" s="254" t="s">
        <v>631</v>
      </c>
      <c r="B189" s="254" t="s">
        <v>246</v>
      </c>
      <c r="C189" s="254">
        <v>0.123</v>
      </c>
      <c r="D189" s="254">
        <v>0.193</v>
      </c>
      <c r="E189" s="254">
        <v>0.157</v>
      </c>
      <c r="F189" s="256">
        <v>315.22000000000003</v>
      </c>
      <c r="G189" s="257">
        <v>1114634146.3414633</v>
      </c>
      <c r="H189" s="257">
        <v>214000000.00000003</v>
      </c>
      <c r="I189" s="257">
        <v>1371</v>
      </c>
      <c r="J189" s="257">
        <v>749</v>
      </c>
      <c r="K189" s="257">
        <v>2969570.7317073168</v>
      </c>
      <c r="L189" s="257">
        <v>849570.73170731682</v>
      </c>
      <c r="M189" s="257">
        <v>849570.73170731682</v>
      </c>
      <c r="Q189" s="163"/>
      <c r="R189" s="125"/>
      <c r="S189" s="124"/>
      <c r="T189" s="205"/>
    </row>
    <row r="190" spans="1:20" x14ac:dyDescent="0.2">
      <c r="A190" s="254" t="s">
        <v>631</v>
      </c>
      <c r="B190" s="254" t="s">
        <v>247</v>
      </c>
      <c r="C190" s="254">
        <v>0.18240000000000001</v>
      </c>
      <c r="D190" s="254">
        <v>0.309</v>
      </c>
      <c r="E190" s="254">
        <v>0.247</v>
      </c>
      <c r="F190" s="256">
        <v>434.82</v>
      </c>
      <c r="G190" s="257">
        <v>4626644736.8421049</v>
      </c>
      <c r="H190" s="257">
        <v>528597122.30215818</v>
      </c>
      <c r="I190" s="257">
        <v>8439</v>
      </c>
      <c r="J190" s="257">
        <v>2939</v>
      </c>
      <c r="K190" s="257">
        <v>10941390.03928436</v>
      </c>
      <c r="L190" s="257">
        <v>-436609.96071564034</v>
      </c>
      <c r="M190" s="257">
        <v>0</v>
      </c>
      <c r="Q190" s="163"/>
      <c r="R190" s="125"/>
      <c r="S190" s="124"/>
      <c r="T190" s="205"/>
    </row>
    <row r="191" spans="1:20" x14ac:dyDescent="0.2">
      <c r="A191" s="254" t="s">
        <v>630</v>
      </c>
      <c r="B191" s="254" t="s">
        <v>374</v>
      </c>
      <c r="C191" s="254">
        <v>9.2499999999999999E-2</v>
      </c>
      <c r="D191" s="254">
        <v>0.1855</v>
      </c>
      <c r="E191" s="254">
        <v>0.16800000000000001</v>
      </c>
      <c r="F191" s="256">
        <v>237.84</v>
      </c>
      <c r="G191" s="257">
        <v>2588108108.108108</v>
      </c>
      <c r="H191" s="257">
        <v>556435643.56435633</v>
      </c>
      <c r="I191" s="257">
        <v>2394</v>
      </c>
      <c r="J191" s="257">
        <v>1967</v>
      </c>
      <c r="K191" s="257">
        <v>7124385.3358308803</v>
      </c>
      <c r="L191" s="257">
        <v>2763385.3358308803</v>
      </c>
      <c r="M191" s="257">
        <v>2763385.3358308803</v>
      </c>
      <c r="Q191" s="163"/>
      <c r="R191" s="125"/>
      <c r="S191" s="124"/>
      <c r="T191" s="205"/>
    </row>
    <row r="192" spans="1:20" x14ac:dyDescent="0.2">
      <c r="A192" s="254" t="s">
        <v>631</v>
      </c>
      <c r="B192" s="254" t="s">
        <v>248</v>
      </c>
      <c r="C192" s="254">
        <v>9.1800000000000007E-2</v>
      </c>
      <c r="D192" s="254">
        <v>0.1134</v>
      </c>
      <c r="E192" s="254">
        <v>0.1046</v>
      </c>
      <c r="F192" s="256">
        <v>259.48</v>
      </c>
      <c r="G192" s="257">
        <v>4115468409.5860562</v>
      </c>
      <c r="H192" s="257">
        <v>765137614.67889905</v>
      </c>
      <c r="I192" s="257">
        <v>3778</v>
      </c>
      <c r="J192" s="257">
        <v>1668</v>
      </c>
      <c r="K192" s="257">
        <v>10868056.50496692</v>
      </c>
      <c r="L192" s="257">
        <v>5422056.5049669202</v>
      </c>
      <c r="M192" s="257">
        <v>5422056.5049669202</v>
      </c>
      <c r="Q192" s="163"/>
      <c r="R192" s="125"/>
      <c r="S192" s="124"/>
      <c r="T192" s="205"/>
    </row>
    <row r="193" spans="1:20" x14ac:dyDescent="0.2">
      <c r="A193" s="254" t="s">
        <v>629</v>
      </c>
      <c r="B193" s="254" t="s">
        <v>451</v>
      </c>
      <c r="C193" s="254">
        <v>0.13800000000000001</v>
      </c>
      <c r="D193" s="254">
        <v>0.22409999999999999</v>
      </c>
      <c r="E193" s="254">
        <v>0.1799</v>
      </c>
      <c r="F193" s="256">
        <v>331.65</v>
      </c>
      <c r="G193" s="257">
        <v>2443478260.869565</v>
      </c>
      <c r="H193" s="257">
        <v>515099009.90099007</v>
      </c>
      <c r="I193" s="257">
        <v>3372</v>
      </c>
      <c r="J193" s="257">
        <v>2081</v>
      </c>
      <c r="K193" s="257">
        <v>6686826.8402927248</v>
      </c>
      <c r="L193" s="257">
        <v>1233826.8402927248</v>
      </c>
      <c r="M193" s="257">
        <v>1233826.8402927248</v>
      </c>
      <c r="Q193" s="163"/>
      <c r="R193" s="125"/>
      <c r="S193" s="124"/>
      <c r="T193" s="205"/>
    </row>
    <row r="194" spans="1:20" x14ac:dyDescent="0.2">
      <c r="A194" s="254" t="s">
        <v>631</v>
      </c>
      <c r="B194" s="254" t="s">
        <v>286</v>
      </c>
      <c r="C194" s="254">
        <v>0.14269999999999999</v>
      </c>
      <c r="D194" s="254">
        <v>0.1376</v>
      </c>
      <c r="E194" s="254">
        <v>0.1103</v>
      </c>
      <c r="F194" s="256">
        <v>392.61</v>
      </c>
      <c r="G194" s="257">
        <v>1394533987.3861248</v>
      </c>
      <c r="H194" s="257">
        <v>260588947.1561113</v>
      </c>
      <c r="I194" s="257">
        <v>1990</v>
      </c>
      <c r="J194" s="257">
        <v>646</v>
      </c>
      <c r="K194" s="257">
        <v>3687745.3722693189</v>
      </c>
      <c r="L194" s="257">
        <v>1051745.3722693189</v>
      </c>
      <c r="M194" s="257">
        <v>1051745.3722693189</v>
      </c>
      <c r="Q194" s="163"/>
      <c r="R194" s="125"/>
      <c r="S194" s="124"/>
      <c r="T194" s="205"/>
    </row>
    <row r="195" spans="1:20" x14ac:dyDescent="0.2">
      <c r="A195" s="254" t="s">
        <v>637</v>
      </c>
      <c r="B195" s="254" t="s">
        <v>167</v>
      </c>
      <c r="C195" s="254">
        <v>0.18559999999999999</v>
      </c>
      <c r="D195" s="254">
        <v>0.2223</v>
      </c>
      <c r="E195" s="254">
        <v>0.17460000000000001</v>
      </c>
      <c r="F195" s="256">
        <v>273.95</v>
      </c>
      <c r="G195" s="257">
        <v>631465517.24137938</v>
      </c>
      <c r="H195" s="257">
        <v>221970269.5893172</v>
      </c>
      <c r="I195" s="257">
        <v>1172</v>
      </c>
      <c r="J195" s="257">
        <v>881</v>
      </c>
      <c r="K195" s="257">
        <v>2070156.6586085267</v>
      </c>
      <c r="L195" s="257">
        <v>17156.65860852669</v>
      </c>
      <c r="M195" s="257">
        <v>17156.65860852669</v>
      </c>
      <c r="Q195" s="163"/>
      <c r="R195" s="125"/>
      <c r="S195" s="124"/>
      <c r="T195" s="205"/>
    </row>
    <row r="196" spans="1:20" x14ac:dyDescent="0.2">
      <c r="A196" s="254" t="s">
        <v>634</v>
      </c>
      <c r="B196" s="254" t="s">
        <v>210</v>
      </c>
      <c r="C196" s="254">
        <v>0.1615</v>
      </c>
      <c r="D196" s="254">
        <v>0.26069999999999999</v>
      </c>
      <c r="E196" s="254">
        <v>0.2039</v>
      </c>
      <c r="F196" s="256">
        <v>346.59</v>
      </c>
      <c r="G196" s="257">
        <v>1985758513.9318883</v>
      </c>
      <c r="H196" s="257">
        <v>382049074.47266465</v>
      </c>
      <c r="I196" s="257">
        <v>3207</v>
      </c>
      <c r="J196" s="257">
        <v>1775</v>
      </c>
      <c r="K196" s="257">
        <v>5293474.0760386437</v>
      </c>
      <c r="L196" s="257">
        <v>311474.07603864372</v>
      </c>
      <c r="M196" s="257">
        <v>311474.07603864372</v>
      </c>
      <c r="Q196" s="163"/>
      <c r="R196" s="125"/>
      <c r="S196" s="124"/>
      <c r="T196" s="205"/>
    </row>
    <row r="197" spans="1:20" x14ac:dyDescent="0.2">
      <c r="A197" s="254" t="s">
        <v>631</v>
      </c>
      <c r="B197" s="254" t="s">
        <v>249</v>
      </c>
      <c r="C197" s="254">
        <v>0.11749999999999999</v>
      </c>
      <c r="D197" s="254">
        <v>0.27679999999999999</v>
      </c>
      <c r="E197" s="254">
        <v>0.21629999999999999</v>
      </c>
      <c r="F197" s="256">
        <v>314.58999999999997</v>
      </c>
      <c r="G197" s="257">
        <v>2376170212.7659578</v>
      </c>
      <c r="H197" s="257">
        <v>524234435.20584065</v>
      </c>
      <c r="I197" s="257">
        <v>2792</v>
      </c>
      <c r="J197" s="257">
        <v>2585</v>
      </c>
      <c r="K197" s="257">
        <v>6592430.2351169549</v>
      </c>
      <c r="L197" s="257">
        <v>1215430.2351169549</v>
      </c>
      <c r="M197" s="257">
        <v>1215430.2351169549</v>
      </c>
      <c r="Q197" s="163"/>
      <c r="R197" s="125"/>
      <c r="S197" s="124"/>
      <c r="T197" s="205"/>
    </row>
    <row r="198" spans="1:20" x14ac:dyDescent="0.2">
      <c r="A198" s="254" t="s">
        <v>638</v>
      </c>
      <c r="B198" s="254" t="s">
        <v>491</v>
      </c>
      <c r="C198" s="254">
        <v>0.11119999999999999</v>
      </c>
      <c r="D198" s="254">
        <v>0.20580000000000001</v>
      </c>
      <c r="E198" s="254">
        <v>0.18659999999999999</v>
      </c>
      <c r="F198" s="256">
        <v>230.22</v>
      </c>
      <c r="G198" s="257">
        <v>2172661870.5035973</v>
      </c>
      <c r="H198" s="257">
        <v>454128440.36697251</v>
      </c>
      <c r="I198" s="257">
        <v>2416</v>
      </c>
      <c r="J198" s="257">
        <v>1782</v>
      </c>
      <c r="K198" s="257">
        <v>5930768.5961322691</v>
      </c>
      <c r="L198" s="257">
        <v>1732768.5961322691</v>
      </c>
      <c r="M198" s="257">
        <v>1732768.5961322691</v>
      </c>
      <c r="Q198" s="163"/>
      <c r="R198" s="125"/>
      <c r="S198" s="124"/>
      <c r="T198" s="205"/>
    </row>
    <row r="199" spans="1:20" x14ac:dyDescent="0.2">
      <c r="A199" s="254" t="s">
        <v>633</v>
      </c>
      <c r="B199" s="254" t="s">
        <v>375</v>
      </c>
      <c r="C199" s="254">
        <v>0.14349999999999999</v>
      </c>
      <c r="D199" s="254">
        <v>0.28050000000000003</v>
      </c>
      <c r="E199" s="254">
        <v>0.20080000000000001</v>
      </c>
      <c r="F199" s="256">
        <v>282.33</v>
      </c>
      <c r="G199" s="257">
        <v>2832752613.2404184</v>
      </c>
      <c r="H199" s="257">
        <v>382505713.6920839</v>
      </c>
      <c r="I199" s="257">
        <v>4065</v>
      </c>
      <c r="J199" s="257">
        <v>1841</v>
      </c>
      <c r="K199" s="257">
        <v>6925695.7782023288</v>
      </c>
      <c r="L199" s="257">
        <v>1019695.7782023288</v>
      </c>
      <c r="M199" s="257">
        <v>1019695.7782023288</v>
      </c>
      <c r="Q199" s="163"/>
      <c r="R199" s="125"/>
      <c r="S199" s="124"/>
      <c r="T199" s="205"/>
    </row>
    <row r="200" spans="1:20" x14ac:dyDescent="0.2">
      <c r="A200" s="254" t="s">
        <v>638</v>
      </c>
      <c r="B200" s="254" t="s">
        <v>492</v>
      </c>
      <c r="C200" s="254">
        <v>0.127</v>
      </c>
      <c r="D200" s="254">
        <v>0.28000000000000003</v>
      </c>
      <c r="E200" s="254">
        <v>0.22900000000000001</v>
      </c>
      <c r="F200" s="256">
        <v>248.98</v>
      </c>
      <c r="G200" s="257">
        <v>11470078740.15748</v>
      </c>
      <c r="H200" s="257">
        <v>3199803536.3457761</v>
      </c>
      <c r="I200" s="257">
        <v>14567</v>
      </c>
      <c r="J200" s="257">
        <v>16287</v>
      </c>
      <c r="K200" s="257">
        <v>34399145.189734392</v>
      </c>
      <c r="L200" s="257">
        <v>3545145.1897343919</v>
      </c>
      <c r="M200" s="257">
        <v>3545145.1897343919</v>
      </c>
      <c r="Q200" s="163"/>
      <c r="R200" s="125"/>
      <c r="S200" s="124"/>
      <c r="T200" s="205"/>
    </row>
    <row r="201" spans="1:20" x14ac:dyDescent="0.2">
      <c r="A201" s="254" t="s">
        <v>637</v>
      </c>
      <c r="B201" s="254" t="s">
        <v>168</v>
      </c>
      <c r="C201" s="254">
        <v>0.1216</v>
      </c>
      <c r="D201" s="254">
        <v>0.22839999999999999</v>
      </c>
      <c r="E201" s="254">
        <v>0.18759999999999999</v>
      </c>
      <c r="F201" s="256">
        <v>270.07</v>
      </c>
      <c r="G201" s="257">
        <v>916940789.47368419</v>
      </c>
      <c r="H201" s="257">
        <v>163942307.69230771</v>
      </c>
      <c r="I201" s="257">
        <v>1115</v>
      </c>
      <c r="J201" s="257">
        <v>682</v>
      </c>
      <c r="K201" s="257">
        <v>2396288.9043522268</v>
      </c>
      <c r="L201" s="257">
        <v>599288.90435222676</v>
      </c>
      <c r="M201" s="257">
        <v>599288.90435222676</v>
      </c>
      <c r="Q201" s="163"/>
      <c r="R201" s="125"/>
      <c r="S201" s="124"/>
      <c r="T201" s="205"/>
    </row>
    <row r="202" spans="1:20" x14ac:dyDescent="0.2">
      <c r="A202" s="254" t="s">
        <v>630</v>
      </c>
      <c r="B202" s="254" t="s">
        <v>329</v>
      </c>
      <c r="C202" s="254">
        <v>9.2899999999999996E-2</v>
      </c>
      <c r="D202" s="254">
        <v>0.1512</v>
      </c>
      <c r="E202" s="254">
        <v>0.1172</v>
      </c>
      <c r="F202" s="256">
        <v>205.62</v>
      </c>
      <c r="G202" s="257">
        <v>4075349838.5360608</v>
      </c>
      <c r="H202" s="257">
        <v>859538002.98062599</v>
      </c>
      <c r="I202" s="257">
        <v>3786</v>
      </c>
      <c r="J202" s="257">
        <v>2307</v>
      </c>
      <c r="K202" s="257">
        <v>11154269.750657327</v>
      </c>
      <c r="L202" s="257">
        <v>5061269.7506573275</v>
      </c>
      <c r="M202" s="257">
        <v>5061269.7506573275</v>
      </c>
      <c r="Q202" s="163"/>
      <c r="R202" s="125"/>
      <c r="S202" s="124"/>
      <c r="T202" s="205"/>
    </row>
    <row r="203" spans="1:20" x14ac:dyDescent="0.2">
      <c r="A203" s="254" t="s">
        <v>638</v>
      </c>
      <c r="B203" s="254" t="s">
        <v>493</v>
      </c>
      <c r="C203" s="254">
        <v>0.189</v>
      </c>
      <c r="D203" s="254">
        <v>0.28000000000000003</v>
      </c>
      <c r="E203" s="254">
        <v>0.21990000000000001</v>
      </c>
      <c r="F203" s="256">
        <v>450.55</v>
      </c>
      <c r="G203" s="257">
        <v>1997354497.3544974</v>
      </c>
      <c r="H203" s="257">
        <v>213842768.55371073</v>
      </c>
      <c r="I203" s="257">
        <v>3775</v>
      </c>
      <c r="J203" s="257">
        <v>1069</v>
      </c>
      <c r="K203" s="257">
        <v>4668202.0663391938</v>
      </c>
      <c r="L203" s="257">
        <v>-175797.93366080616</v>
      </c>
      <c r="M203" s="257">
        <v>0</v>
      </c>
      <c r="Q203" s="163"/>
      <c r="R203" s="125"/>
      <c r="S203" s="124"/>
      <c r="T203" s="205"/>
    </row>
    <row r="204" spans="1:20" x14ac:dyDescent="0.2">
      <c r="A204" s="254" t="s">
        <v>629</v>
      </c>
      <c r="B204" s="254" t="s">
        <v>713</v>
      </c>
      <c r="C204" s="254">
        <v>0.1183</v>
      </c>
      <c r="D204" s="254">
        <v>0.19284999999999999</v>
      </c>
      <c r="E204" s="254">
        <v>0.16298000000000001</v>
      </c>
      <c r="F204" s="256">
        <v>312.22000000000003</v>
      </c>
      <c r="G204" s="257">
        <v>8546069315.3000841</v>
      </c>
      <c r="H204" s="257">
        <v>2083017171.1210411</v>
      </c>
      <c r="I204" s="257">
        <v>10110</v>
      </c>
      <c r="J204" s="257">
        <v>7412</v>
      </c>
      <c r="K204" s="257">
        <v>24470799.540768672</v>
      </c>
      <c r="L204" s="257">
        <v>6948799.5407686718</v>
      </c>
      <c r="M204" s="257">
        <v>6948799.5407686718</v>
      </c>
      <c r="Q204" s="163"/>
      <c r="R204" s="125"/>
      <c r="S204" s="124"/>
      <c r="T204" s="205"/>
    </row>
    <row r="205" spans="1:20" x14ac:dyDescent="0.2">
      <c r="A205" s="254" t="s">
        <v>628</v>
      </c>
      <c r="B205" s="254" t="s">
        <v>149</v>
      </c>
      <c r="C205" s="254">
        <v>0.13100000000000001</v>
      </c>
      <c r="D205" s="254">
        <v>0.317</v>
      </c>
      <c r="E205" s="254">
        <v>0.255</v>
      </c>
      <c r="F205" s="256">
        <v>249.75</v>
      </c>
      <c r="G205" s="257">
        <v>2855725190.8396945</v>
      </c>
      <c r="H205" s="257">
        <v>770279720.27972019</v>
      </c>
      <c r="I205" s="257">
        <v>3741</v>
      </c>
      <c r="J205" s="257">
        <v>4406</v>
      </c>
      <c r="K205" s="257">
        <v>8462847.9154433347</v>
      </c>
      <c r="L205" s="257">
        <v>315847.91544333473</v>
      </c>
      <c r="M205" s="257">
        <v>315847.91544333473</v>
      </c>
      <c r="Q205" s="163"/>
      <c r="R205" s="125"/>
      <c r="S205" s="124"/>
      <c r="T205" s="205"/>
    </row>
    <row r="206" spans="1:20" x14ac:dyDescent="0.2">
      <c r="A206" s="254" t="s">
        <v>640</v>
      </c>
      <c r="B206" s="254" t="s">
        <v>407</v>
      </c>
      <c r="C206" s="254">
        <v>0.1164</v>
      </c>
      <c r="D206" s="254">
        <v>0.27450000000000002</v>
      </c>
      <c r="E206" s="254">
        <v>0.2208</v>
      </c>
      <c r="F206" s="256">
        <v>210.4</v>
      </c>
      <c r="G206" s="257">
        <v>4210481099.6563568</v>
      </c>
      <c r="H206" s="257">
        <v>1100545124.1671715</v>
      </c>
      <c r="I206" s="257">
        <v>4901</v>
      </c>
      <c r="J206" s="257">
        <v>5451</v>
      </c>
      <c r="K206" s="257">
        <v>12342274.844882097</v>
      </c>
      <c r="L206" s="257">
        <v>1990274.8448820971</v>
      </c>
      <c r="M206" s="257">
        <v>1990274.8448820971</v>
      </c>
      <c r="Q206" s="163"/>
      <c r="R206" s="125"/>
      <c r="S206" s="124"/>
      <c r="T206" s="205"/>
    </row>
    <row r="207" spans="1:20" x14ac:dyDescent="0.2">
      <c r="A207" s="254" t="s">
        <v>628</v>
      </c>
      <c r="B207" s="254" t="s">
        <v>376</v>
      </c>
      <c r="C207" s="254">
        <v>0.1205</v>
      </c>
      <c r="D207" s="254">
        <v>0.22670000000000001</v>
      </c>
      <c r="E207" s="254">
        <v>0.16270000000000001</v>
      </c>
      <c r="F207" s="256">
        <v>363.24</v>
      </c>
      <c r="G207" s="257">
        <v>2304564315.3526974</v>
      </c>
      <c r="H207" s="257">
        <v>448638931.6897791</v>
      </c>
      <c r="I207" s="257">
        <v>2777</v>
      </c>
      <c r="J207" s="257">
        <v>1747</v>
      </c>
      <c r="K207" s="257">
        <v>6163546.1940595917</v>
      </c>
      <c r="L207" s="257">
        <v>1639546.1940595917</v>
      </c>
      <c r="M207" s="257">
        <v>1639546.1940595917</v>
      </c>
      <c r="Q207" s="163"/>
      <c r="R207" s="125"/>
      <c r="S207" s="124"/>
      <c r="T207" s="205"/>
    </row>
    <row r="208" spans="1:20" x14ac:dyDescent="0.2">
      <c r="A208" s="254" t="s">
        <v>633</v>
      </c>
      <c r="B208" s="254" t="s">
        <v>150</v>
      </c>
      <c r="C208" s="254">
        <v>0.11650000000000001</v>
      </c>
      <c r="D208" s="254">
        <v>0.20580000000000001</v>
      </c>
      <c r="E208" s="254">
        <v>0.16500000000000001</v>
      </c>
      <c r="F208" s="256">
        <v>232.45</v>
      </c>
      <c r="G208" s="257">
        <v>2872103004.2918453</v>
      </c>
      <c r="H208" s="257">
        <v>826321467.09816599</v>
      </c>
      <c r="I208" s="257">
        <v>3346</v>
      </c>
      <c r="J208" s="257">
        <v>3064</v>
      </c>
      <c r="K208" s="257">
        <v>8710135.9315897413</v>
      </c>
      <c r="L208" s="257">
        <v>2300135.9315897413</v>
      </c>
      <c r="M208" s="257">
        <v>2300135.9315897413</v>
      </c>
      <c r="Q208" s="163"/>
      <c r="R208" s="125"/>
      <c r="S208" s="124"/>
      <c r="T208" s="205"/>
    </row>
    <row r="209" spans="1:20" x14ac:dyDescent="0.2">
      <c r="A209" s="254" t="s">
        <v>637</v>
      </c>
      <c r="B209" s="254" t="s">
        <v>819</v>
      </c>
      <c r="C209" s="254">
        <v>0.17979999999999999</v>
      </c>
      <c r="D209" s="254">
        <v>0.37109999999999999</v>
      </c>
      <c r="E209" s="254">
        <v>0.29780000000000001</v>
      </c>
      <c r="F209" s="256">
        <v>240.93</v>
      </c>
      <c r="G209" s="257">
        <v>2814000000</v>
      </c>
      <c r="H209" s="257">
        <v>817000000</v>
      </c>
      <c r="I209" s="257">
        <v>5059.5720000000001</v>
      </c>
      <c r="J209" s="257">
        <v>5464.9130000000005</v>
      </c>
      <c r="K209" s="257">
        <v>8562400</v>
      </c>
      <c r="L209" s="257">
        <v>-1962085</v>
      </c>
      <c r="M209" s="257">
        <v>0</v>
      </c>
      <c r="Q209" s="163"/>
      <c r="R209" s="125"/>
      <c r="S209" s="124"/>
      <c r="T209" s="205"/>
    </row>
    <row r="210" spans="1:20" x14ac:dyDescent="0.2">
      <c r="A210" s="254" t="s">
        <v>638</v>
      </c>
      <c r="B210" s="254" t="s">
        <v>452</v>
      </c>
      <c r="C210" s="254">
        <v>0.15440000000000001</v>
      </c>
      <c r="D210" s="254">
        <v>0.28560000000000002</v>
      </c>
      <c r="E210" s="254">
        <v>0.22969999999999999</v>
      </c>
      <c r="F210" s="256">
        <v>384.57</v>
      </c>
      <c r="G210" s="257">
        <v>1076424870.4663212</v>
      </c>
      <c r="H210" s="257">
        <v>235396856.2002717</v>
      </c>
      <c r="I210" s="257">
        <v>1662</v>
      </c>
      <c r="J210" s="257">
        <v>1213</v>
      </c>
      <c r="K210" s="257">
        <v>2978395.7720187148</v>
      </c>
      <c r="L210" s="257">
        <v>103395.77201871481</v>
      </c>
      <c r="M210" s="257">
        <v>103395.77201871481</v>
      </c>
      <c r="Q210" s="163"/>
      <c r="R210" s="125"/>
      <c r="S210" s="124"/>
      <c r="T210" s="205"/>
    </row>
    <row r="211" spans="1:20" x14ac:dyDescent="0.2">
      <c r="A211" s="254" t="s">
        <v>629</v>
      </c>
      <c r="B211" s="254" t="s">
        <v>453</v>
      </c>
      <c r="C211" s="254">
        <v>9.4500000000000001E-2</v>
      </c>
      <c r="D211" s="254">
        <v>0.29599999999999999</v>
      </c>
      <c r="E211" s="254">
        <v>0.24160000000000001</v>
      </c>
      <c r="F211" s="256">
        <v>204.98</v>
      </c>
      <c r="G211" s="257">
        <v>3521693121.6931219</v>
      </c>
      <c r="H211" s="257">
        <v>2699032738.0952382</v>
      </c>
      <c r="I211" s="257">
        <v>3328</v>
      </c>
      <c r="J211" s="257">
        <v>14510</v>
      </c>
      <c r="K211" s="257">
        <v>17170535.300925929</v>
      </c>
      <c r="L211" s="257">
        <v>-667464.6990740709</v>
      </c>
      <c r="M211" s="257">
        <v>0</v>
      </c>
    </row>
    <row r="212" spans="1:20" x14ac:dyDescent="0.2">
      <c r="A212" s="254" t="s">
        <v>633</v>
      </c>
      <c r="B212" s="254" t="s">
        <v>377</v>
      </c>
      <c r="C212" s="254">
        <v>0.1101</v>
      </c>
      <c r="D212" s="254">
        <v>0.20169999999999999</v>
      </c>
      <c r="E212" s="254">
        <v>0.17519999999999999</v>
      </c>
      <c r="F212" s="256">
        <v>275.63</v>
      </c>
      <c r="G212" s="257">
        <v>2745685740.2361488</v>
      </c>
      <c r="H212" s="257">
        <v>550278588.48500931</v>
      </c>
      <c r="I212" s="257">
        <v>3023</v>
      </c>
      <c r="J212" s="257">
        <v>2074</v>
      </c>
      <c r="K212" s="257">
        <v>7404017.6156218722</v>
      </c>
      <c r="L212" s="257">
        <v>2307017.6156218722</v>
      </c>
      <c r="M212" s="257">
        <v>2307017.6156218722</v>
      </c>
      <c r="Q212" s="163"/>
      <c r="R212" s="125"/>
      <c r="S212" s="124"/>
      <c r="T212" s="205"/>
    </row>
    <row r="213" spans="1:20" x14ac:dyDescent="0.2">
      <c r="A213" s="254" t="s">
        <v>631</v>
      </c>
      <c r="B213" s="254" t="s">
        <v>250</v>
      </c>
      <c r="C213" s="254">
        <v>0.14599999999999999</v>
      </c>
      <c r="D213" s="254">
        <v>0.21990000000000001</v>
      </c>
      <c r="E213" s="254">
        <v>0.17080000000000001</v>
      </c>
      <c r="F213" s="256">
        <v>296.18</v>
      </c>
      <c r="G213" s="257">
        <v>3115068493.1506853</v>
      </c>
      <c r="H213" s="257">
        <v>577937036.0890708</v>
      </c>
      <c r="I213" s="257">
        <v>4548</v>
      </c>
      <c r="J213" s="257">
        <v>2258</v>
      </c>
      <c r="K213" s="257">
        <v>8221564.4382579923</v>
      </c>
      <c r="L213" s="257">
        <v>1415564.4382579923</v>
      </c>
      <c r="M213" s="257">
        <v>1415564.4382579923</v>
      </c>
      <c r="Q213" s="163"/>
      <c r="R213" s="125"/>
      <c r="S213" s="124"/>
      <c r="T213" s="205"/>
    </row>
    <row r="214" spans="1:20" x14ac:dyDescent="0.2">
      <c r="A214" s="254" t="s">
        <v>636</v>
      </c>
      <c r="B214" s="254" t="s">
        <v>523</v>
      </c>
      <c r="C214" s="254">
        <v>0.14030000000000001</v>
      </c>
      <c r="D214" s="254">
        <v>0.3453</v>
      </c>
      <c r="E214" s="254">
        <v>0.28849999999999998</v>
      </c>
      <c r="F214" s="256">
        <v>384.49</v>
      </c>
      <c r="G214" s="257">
        <v>1426942266.5716321</v>
      </c>
      <c r="H214" s="257">
        <v>204638687.28305462</v>
      </c>
      <c r="I214" s="257">
        <v>2002</v>
      </c>
      <c r="J214" s="257">
        <v>1297</v>
      </c>
      <c r="K214" s="257">
        <v>3534722.8091901527</v>
      </c>
      <c r="L214" s="257">
        <v>235722.80919015268</v>
      </c>
      <c r="M214" s="257">
        <v>235722.80919015268</v>
      </c>
      <c r="Q214" s="163"/>
      <c r="R214" s="125"/>
      <c r="S214" s="124"/>
      <c r="T214" s="205"/>
    </row>
    <row r="215" spans="1:20" x14ac:dyDescent="0.2">
      <c r="A215" s="254" t="s">
        <v>638</v>
      </c>
      <c r="B215" s="254" t="s">
        <v>494</v>
      </c>
      <c r="C215" s="254">
        <v>0.13270000000000001</v>
      </c>
      <c r="D215" s="254">
        <v>0.2145</v>
      </c>
      <c r="E215" s="254">
        <v>0.17150000000000001</v>
      </c>
      <c r="F215" s="256">
        <v>371.67</v>
      </c>
      <c r="G215" s="257">
        <v>927656367.7467972</v>
      </c>
      <c r="H215" s="257">
        <v>88341968.91191709</v>
      </c>
      <c r="I215" s="257">
        <v>1231</v>
      </c>
      <c r="J215" s="257">
        <v>341</v>
      </c>
      <c r="K215" s="257">
        <v>2125855.0882234653</v>
      </c>
      <c r="L215" s="257">
        <v>553855.08822346525</v>
      </c>
      <c r="M215" s="257">
        <v>553855.08822346525</v>
      </c>
      <c r="Q215" s="163"/>
      <c r="R215" s="125"/>
      <c r="S215" s="124"/>
      <c r="T215" s="205"/>
    </row>
    <row r="216" spans="1:20" x14ac:dyDescent="0.2">
      <c r="A216" s="254" t="s">
        <v>631</v>
      </c>
      <c r="B216" s="254" t="s">
        <v>251</v>
      </c>
      <c r="C216" s="254">
        <v>0.1721</v>
      </c>
      <c r="D216" s="254">
        <v>0.24610000000000001</v>
      </c>
      <c r="E216" s="254">
        <v>0.1812</v>
      </c>
      <c r="F216" s="256">
        <v>401.7</v>
      </c>
      <c r="G216" s="257">
        <v>1975014526.4381173</v>
      </c>
      <c r="H216" s="257">
        <v>393400421.24970746</v>
      </c>
      <c r="I216" s="257">
        <v>3399</v>
      </c>
      <c r="J216" s="257">
        <v>1681</v>
      </c>
      <c r="K216" s="257">
        <v>5316494.5852047494</v>
      </c>
      <c r="L216" s="257">
        <v>236494.58520474937</v>
      </c>
      <c r="M216" s="257">
        <v>236494.58520474937</v>
      </c>
      <c r="Q216" s="163"/>
      <c r="R216" s="125"/>
      <c r="S216" s="124"/>
      <c r="T216" s="205"/>
    </row>
    <row r="217" spans="1:20" x14ac:dyDescent="0.2">
      <c r="A217" s="254" t="s">
        <v>638</v>
      </c>
      <c r="B217" s="254" t="s">
        <v>495</v>
      </c>
      <c r="C217" s="254">
        <v>0.13800000000000001</v>
      </c>
      <c r="D217" s="254">
        <v>0.26</v>
      </c>
      <c r="E217" s="254">
        <v>0.2</v>
      </c>
      <c r="F217" s="256">
        <v>340.8</v>
      </c>
      <c r="G217" s="257">
        <v>1710144927.5362318</v>
      </c>
      <c r="H217" s="257">
        <v>403260869.56521738</v>
      </c>
      <c r="I217" s="257">
        <v>2360</v>
      </c>
      <c r="J217" s="257">
        <v>1855</v>
      </c>
      <c r="K217" s="257">
        <v>4844583.333333333</v>
      </c>
      <c r="L217" s="257">
        <v>629583.33333333302</v>
      </c>
      <c r="M217" s="257">
        <v>629583.33333333302</v>
      </c>
      <c r="Q217" s="163"/>
      <c r="R217" s="125"/>
      <c r="S217" s="124"/>
      <c r="T217" s="205"/>
    </row>
    <row r="218" spans="1:20" x14ac:dyDescent="0.2">
      <c r="A218" s="254" t="s">
        <v>631</v>
      </c>
      <c r="B218" s="254" t="s">
        <v>252</v>
      </c>
      <c r="C218" s="254">
        <v>9.4299999999999995E-2</v>
      </c>
      <c r="D218" s="254">
        <v>0.2225</v>
      </c>
      <c r="E218" s="254">
        <v>0.17849999999999999</v>
      </c>
      <c r="F218" s="256">
        <v>250.55</v>
      </c>
      <c r="G218" s="257">
        <v>1232237539.7667022</v>
      </c>
      <c r="H218" s="257">
        <v>241396508.72817951</v>
      </c>
      <c r="I218" s="257">
        <v>1162</v>
      </c>
      <c r="J218" s="257">
        <v>968</v>
      </c>
      <c r="K218" s="257">
        <v>3301433.822654393</v>
      </c>
      <c r="L218" s="257">
        <v>1171433.822654393</v>
      </c>
      <c r="M218" s="257">
        <v>1171433.822654393</v>
      </c>
      <c r="Q218" s="163"/>
      <c r="R218" s="125"/>
      <c r="S218" s="124"/>
      <c r="T218" s="205"/>
    </row>
    <row r="219" spans="1:20" x14ac:dyDescent="0.2">
      <c r="A219" s="254" t="s">
        <v>636</v>
      </c>
      <c r="B219" s="254" t="s">
        <v>287</v>
      </c>
      <c r="C219" s="254">
        <v>0.105</v>
      </c>
      <c r="D219" s="254">
        <v>0.34229999999999999</v>
      </c>
      <c r="E219" s="254">
        <v>0.27389999999999998</v>
      </c>
      <c r="F219" s="256">
        <v>229.56</v>
      </c>
      <c r="G219" s="257">
        <v>6025714285.7142859</v>
      </c>
      <c r="H219" s="257">
        <v>1623012009.0879586</v>
      </c>
      <c r="I219" s="257">
        <v>6327</v>
      </c>
      <c r="J219" s="257">
        <v>10001</v>
      </c>
      <c r="K219" s="257">
        <v>17848096.234988641</v>
      </c>
      <c r="L219" s="257">
        <v>1520096.234988641</v>
      </c>
      <c r="M219" s="257">
        <v>1520096.234988641</v>
      </c>
      <c r="Q219" s="163"/>
      <c r="R219" s="125"/>
      <c r="S219" s="124"/>
      <c r="T219" s="205"/>
    </row>
    <row r="220" spans="1:20" x14ac:dyDescent="0.2">
      <c r="A220" s="254" t="s">
        <v>636</v>
      </c>
      <c r="B220" s="254" t="s">
        <v>378</v>
      </c>
      <c r="C220" s="254">
        <v>0.14119999999999999</v>
      </c>
      <c r="D220" s="254">
        <v>0.31530000000000002</v>
      </c>
      <c r="E220" s="254">
        <v>0.24929999999999999</v>
      </c>
      <c r="F220" s="256">
        <v>405</v>
      </c>
      <c r="G220" s="257">
        <v>3190509915.0141644</v>
      </c>
      <c r="H220" s="257">
        <v>479100247.96315974</v>
      </c>
      <c r="I220" s="257">
        <v>4505</v>
      </c>
      <c r="J220" s="257">
        <v>2705</v>
      </c>
      <c r="K220" s="257">
        <v>7986267.5410604328</v>
      </c>
      <c r="L220" s="257">
        <v>776267.54106043279</v>
      </c>
      <c r="M220" s="257">
        <v>776267.54106043279</v>
      </c>
      <c r="Q220" s="163"/>
      <c r="R220" s="125"/>
      <c r="S220" s="124"/>
      <c r="T220" s="205"/>
    </row>
    <row r="221" spans="1:20" x14ac:dyDescent="0.2">
      <c r="A221" s="254" t="s">
        <v>631</v>
      </c>
      <c r="B221" s="254" t="s">
        <v>253</v>
      </c>
      <c r="C221" s="254">
        <v>0.1016</v>
      </c>
      <c r="D221" s="254">
        <v>0.1928</v>
      </c>
      <c r="E221" s="254">
        <v>0.14319999999999999</v>
      </c>
      <c r="F221" s="256">
        <v>284</v>
      </c>
      <c r="G221" s="257">
        <v>4714566929.1338587</v>
      </c>
      <c r="H221" s="257">
        <v>1186309523.8095238</v>
      </c>
      <c r="I221" s="257">
        <v>4790</v>
      </c>
      <c r="J221" s="257">
        <v>3986</v>
      </c>
      <c r="K221" s="257">
        <v>13642833.005249344</v>
      </c>
      <c r="L221" s="257">
        <v>4866833.0052493438</v>
      </c>
      <c r="M221" s="257">
        <v>4866833.0052493438</v>
      </c>
      <c r="Q221" s="163"/>
      <c r="R221" s="125"/>
      <c r="S221" s="124"/>
      <c r="T221" s="205"/>
    </row>
    <row r="222" spans="1:20" x14ac:dyDescent="0.2">
      <c r="A222" s="254" t="s">
        <v>631</v>
      </c>
      <c r="B222" s="254" t="s">
        <v>254</v>
      </c>
      <c r="C222" s="254">
        <v>0.26119999999999999</v>
      </c>
      <c r="D222" s="254">
        <v>0.90290000000000004</v>
      </c>
      <c r="E222" s="254">
        <v>0</v>
      </c>
      <c r="F222" s="256">
        <v>535.32000000000005</v>
      </c>
      <c r="G222" s="257">
        <v>15989280245.022972</v>
      </c>
      <c r="H222" s="257">
        <v>4220400930.3355851</v>
      </c>
      <c r="I222" s="257">
        <v>41764</v>
      </c>
      <c r="J222" s="257">
        <v>38106</v>
      </c>
      <c r="K222" s="257">
        <v>47027908.053461224</v>
      </c>
      <c r="L222" s="257">
        <v>-32842091.946538776</v>
      </c>
      <c r="M222" s="257">
        <v>0</v>
      </c>
      <c r="Q222" s="163"/>
      <c r="R222" s="125"/>
      <c r="S222" s="124"/>
      <c r="T222" s="205"/>
    </row>
    <row r="223" spans="1:20" x14ac:dyDescent="0.2">
      <c r="A223" s="254" t="s">
        <v>633</v>
      </c>
      <c r="B223" s="254" t="s">
        <v>568</v>
      </c>
      <c r="C223" s="254">
        <v>0.13800000000000001</v>
      </c>
      <c r="D223" s="254">
        <v>0.29099999999999998</v>
      </c>
      <c r="E223" s="254">
        <v>0.2354</v>
      </c>
      <c r="F223" s="256">
        <v>241.29</v>
      </c>
      <c r="G223" s="257">
        <v>6860869565.217391</v>
      </c>
      <c r="H223" s="257">
        <v>1199088145.8966565</v>
      </c>
      <c r="I223" s="257">
        <v>9468</v>
      </c>
      <c r="J223" s="257">
        <v>6312</v>
      </c>
      <c r="K223" s="257">
        <v>17823663.274745606</v>
      </c>
      <c r="L223" s="257">
        <v>2043663.2747456059</v>
      </c>
      <c r="M223" s="257">
        <v>2043663.2747456059</v>
      </c>
      <c r="Q223" s="163"/>
      <c r="R223" s="125"/>
      <c r="S223" s="124"/>
      <c r="T223" s="205"/>
    </row>
    <row r="224" spans="1:20" x14ac:dyDescent="0.2">
      <c r="A224" s="254" t="s">
        <v>640</v>
      </c>
      <c r="B224" s="254" t="s">
        <v>408</v>
      </c>
      <c r="C224" s="254">
        <v>0.12559999999999999</v>
      </c>
      <c r="D224" s="254">
        <v>0.12640000000000001</v>
      </c>
      <c r="E224" s="254">
        <v>0.1193</v>
      </c>
      <c r="F224" s="256">
        <v>254.55</v>
      </c>
      <c r="G224" s="257">
        <v>1187101910.8280256</v>
      </c>
      <c r="H224" s="257">
        <v>272283272.28327227</v>
      </c>
      <c r="I224" s="257">
        <v>1491</v>
      </c>
      <c r="J224" s="257">
        <v>669</v>
      </c>
      <c r="K224" s="257">
        <v>3333461.7766345479</v>
      </c>
      <c r="L224" s="257">
        <v>1173461.7766345479</v>
      </c>
      <c r="M224" s="257">
        <v>1173461.7766345479</v>
      </c>
      <c r="Q224" s="163"/>
      <c r="R224" s="125"/>
      <c r="S224" s="124"/>
      <c r="T224" s="205"/>
    </row>
    <row r="225" spans="1:20" x14ac:dyDescent="0.2">
      <c r="A225" s="254" t="s">
        <v>628</v>
      </c>
      <c r="B225" s="254" t="s">
        <v>151</v>
      </c>
      <c r="C225" s="254">
        <v>0.11584999999999999</v>
      </c>
      <c r="D225" s="254">
        <v>0.11584999999999999</v>
      </c>
      <c r="E225" s="254">
        <v>0.12994</v>
      </c>
      <c r="F225" s="256">
        <v>262.02999999999997</v>
      </c>
      <c r="G225" s="257">
        <v>3109192921.8817434</v>
      </c>
      <c r="H225" s="257">
        <v>786443712.11196542</v>
      </c>
      <c r="I225" s="257">
        <v>3602</v>
      </c>
      <c r="J225" s="257">
        <v>1933</v>
      </c>
      <c r="K225" s="257">
        <v>9013004.6662534233</v>
      </c>
      <c r="L225" s="257">
        <v>3478004.6662534233</v>
      </c>
      <c r="M225" s="257">
        <v>3478004.6662534233</v>
      </c>
      <c r="Q225" s="163"/>
      <c r="R225" s="125"/>
      <c r="S225" s="124"/>
      <c r="T225" s="205"/>
    </row>
    <row r="226" spans="1:20" x14ac:dyDescent="0.2">
      <c r="A226" s="254" t="s">
        <v>635</v>
      </c>
      <c r="B226" s="254" t="s">
        <v>514</v>
      </c>
      <c r="C226" s="254">
        <v>0.1507</v>
      </c>
      <c r="D226" s="254">
        <v>0.20369999999999999</v>
      </c>
      <c r="E226" s="254">
        <v>0.1613</v>
      </c>
      <c r="F226" s="256">
        <v>280.48</v>
      </c>
      <c r="G226" s="257">
        <v>3397478433.9747839</v>
      </c>
      <c r="H226" s="257">
        <v>1926301369.8630137</v>
      </c>
      <c r="I226" s="257">
        <v>5120</v>
      </c>
      <c r="J226" s="257">
        <v>7031</v>
      </c>
      <c r="K226" s="257">
        <v>13956406.259374063</v>
      </c>
      <c r="L226" s="257">
        <v>1805406.2593740635</v>
      </c>
      <c r="M226" s="257">
        <v>1805406.2593740635</v>
      </c>
      <c r="Q226" s="163"/>
      <c r="R226" s="125"/>
      <c r="S226" s="124"/>
      <c r="T226" s="205"/>
    </row>
    <row r="227" spans="1:20" x14ac:dyDescent="0.2">
      <c r="A227" s="254" t="s">
        <v>633</v>
      </c>
      <c r="B227" s="254" t="s">
        <v>379</v>
      </c>
      <c r="C227" s="254">
        <v>0.1174</v>
      </c>
      <c r="D227" s="254">
        <v>0.17499999999999999</v>
      </c>
      <c r="E227" s="254">
        <v>0.13639999999999999</v>
      </c>
      <c r="F227" s="256">
        <v>408.41</v>
      </c>
      <c r="G227" s="257">
        <v>4338160136.2862005</v>
      </c>
      <c r="H227" s="257">
        <v>797045600.51380861</v>
      </c>
      <c r="I227" s="257">
        <v>5093</v>
      </c>
      <c r="J227" s="257">
        <v>2482</v>
      </c>
      <c r="K227" s="257">
        <v>11419583.824329101</v>
      </c>
      <c r="L227" s="257">
        <v>3844583.8243291005</v>
      </c>
      <c r="M227" s="257">
        <v>3844583.8243291005</v>
      </c>
      <c r="Q227" s="163"/>
      <c r="R227" s="125"/>
      <c r="S227" s="124"/>
      <c r="T227" s="205"/>
    </row>
    <row r="228" spans="1:20" x14ac:dyDescent="0.2">
      <c r="A228" s="254" t="s">
        <v>633</v>
      </c>
      <c r="B228" s="254" t="s">
        <v>380</v>
      </c>
      <c r="C228" s="254">
        <v>8.5599999999999996E-2</v>
      </c>
      <c r="D228" s="254">
        <v>0.17469999999999999</v>
      </c>
      <c r="E228" s="254">
        <v>0.14019999999999999</v>
      </c>
      <c r="F228" s="256">
        <v>233.01</v>
      </c>
      <c r="G228" s="257">
        <v>1947429906.5420561</v>
      </c>
      <c r="H228" s="257">
        <v>391870435.0587489</v>
      </c>
      <c r="I228" s="257">
        <v>1667</v>
      </c>
      <c r="J228" s="257">
        <v>1234</v>
      </c>
      <c r="K228" s="257">
        <v>5257503.7450696416</v>
      </c>
      <c r="L228" s="257">
        <v>2356503.7450696416</v>
      </c>
      <c r="M228" s="257">
        <v>2356503.7450696416</v>
      </c>
      <c r="Q228" s="163"/>
      <c r="R228" s="125"/>
      <c r="S228" s="124"/>
      <c r="T228" s="205"/>
    </row>
    <row r="229" spans="1:20" x14ac:dyDescent="0.2">
      <c r="A229" s="254" t="s">
        <v>629</v>
      </c>
      <c r="B229" s="254" t="s">
        <v>518</v>
      </c>
      <c r="C229" s="254">
        <v>0.1497</v>
      </c>
      <c r="D229" s="254">
        <v>0.23200000000000001</v>
      </c>
      <c r="E229" s="254">
        <v>0.1862</v>
      </c>
      <c r="F229" s="256">
        <v>452.53</v>
      </c>
      <c r="G229" s="257">
        <v>2978623914.4956579</v>
      </c>
      <c r="H229" s="257">
        <v>312051649.92826396</v>
      </c>
      <c r="I229" s="257">
        <v>4459</v>
      </c>
      <c r="J229" s="257">
        <v>1305</v>
      </c>
      <c r="K229" s="257">
        <v>6935249.8876279583</v>
      </c>
      <c r="L229" s="257">
        <v>1171249.8876279583</v>
      </c>
      <c r="M229" s="257">
        <v>1171249.8876279583</v>
      </c>
      <c r="Q229" s="163"/>
      <c r="R229" s="125"/>
      <c r="S229" s="124"/>
      <c r="T229" s="205"/>
    </row>
    <row r="230" spans="1:20" x14ac:dyDescent="0.2">
      <c r="A230" s="254" t="s">
        <v>631</v>
      </c>
      <c r="B230" s="254" t="s">
        <v>255</v>
      </c>
      <c r="C230" s="254">
        <v>9.0999999999999998E-2</v>
      </c>
      <c r="D230" s="254">
        <v>0.16700000000000001</v>
      </c>
      <c r="E230" s="254">
        <v>0.13600000000000001</v>
      </c>
      <c r="F230" s="256">
        <v>246.06</v>
      </c>
      <c r="G230" s="257">
        <v>3012087912.0879121</v>
      </c>
      <c r="H230" s="257">
        <v>471947194.71947187</v>
      </c>
      <c r="I230" s="257">
        <v>2741</v>
      </c>
      <c r="J230" s="257">
        <v>1430</v>
      </c>
      <c r="K230" s="257">
        <v>7615265.9304391975</v>
      </c>
      <c r="L230" s="257">
        <v>3444265.9304391975</v>
      </c>
      <c r="M230" s="257">
        <v>3444265.9304391975</v>
      </c>
      <c r="Q230" s="163"/>
      <c r="R230" s="125"/>
      <c r="S230" s="124"/>
      <c r="T230" s="205"/>
    </row>
    <row r="231" spans="1:20" x14ac:dyDescent="0.2">
      <c r="A231" s="254" t="s">
        <v>638</v>
      </c>
      <c r="B231" s="254" t="s">
        <v>496</v>
      </c>
      <c r="C231" s="254">
        <v>0.15570000000000001</v>
      </c>
      <c r="D231" s="254">
        <v>0.30280000000000001</v>
      </c>
      <c r="E231" s="254">
        <v>0.246</v>
      </c>
      <c r="F231" s="256">
        <v>322.35000000000002</v>
      </c>
      <c r="G231" s="257">
        <v>1402697495.1830442</v>
      </c>
      <c r="H231" s="257">
        <v>227951895.04373178</v>
      </c>
      <c r="I231" s="257">
        <v>2184</v>
      </c>
      <c r="J231" s="257">
        <v>1251</v>
      </c>
      <c r="K231" s="257">
        <v>3577807.4741457277</v>
      </c>
      <c r="L231" s="257">
        <v>142807.4741457277</v>
      </c>
      <c r="M231" s="257">
        <v>142807.4741457277</v>
      </c>
      <c r="Q231" s="163"/>
      <c r="R231" s="125"/>
      <c r="S231" s="124"/>
      <c r="T231" s="205"/>
    </row>
    <row r="232" spans="1:20" x14ac:dyDescent="0.2">
      <c r="A232" s="254" t="s">
        <v>633</v>
      </c>
      <c r="B232" s="254" t="s">
        <v>381</v>
      </c>
      <c r="C232" s="254">
        <v>0.121</v>
      </c>
      <c r="D232" s="254">
        <v>0.24890000000000001</v>
      </c>
      <c r="E232" s="254">
        <v>0.23230000000000001</v>
      </c>
      <c r="F232" s="256">
        <v>433.46</v>
      </c>
      <c r="G232" s="257">
        <v>3768595041.3223143</v>
      </c>
      <c r="H232" s="257">
        <v>354530340.81463009</v>
      </c>
      <c r="I232" s="257">
        <v>4560</v>
      </c>
      <c r="J232" s="257">
        <v>1706</v>
      </c>
      <c r="K232" s="257">
        <v>8619487.266681781</v>
      </c>
      <c r="L232" s="257">
        <v>2353487.266681781</v>
      </c>
      <c r="M232" s="257">
        <v>2353487.266681781</v>
      </c>
      <c r="Q232" s="163"/>
      <c r="R232" s="125"/>
      <c r="S232" s="124"/>
      <c r="T232" s="205"/>
    </row>
    <row r="233" spans="1:20" x14ac:dyDescent="0.2">
      <c r="A233" s="254" t="s">
        <v>629</v>
      </c>
      <c r="B233" s="254" t="s">
        <v>454</v>
      </c>
      <c r="C233" s="254">
        <v>0.1368</v>
      </c>
      <c r="D233" s="254">
        <v>0.25940000000000002</v>
      </c>
      <c r="E233" s="254">
        <v>0.20849999999999999</v>
      </c>
      <c r="F233" s="256">
        <v>433.28</v>
      </c>
      <c r="G233" s="257">
        <v>2280701754.3859649</v>
      </c>
      <c r="H233" s="257">
        <v>553537080.57277191</v>
      </c>
      <c r="I233" s="257">
        <v>3120</v>
      </c>
      <c r="J233" s="257">
        <v>2590</v>
      </c>
      <c r="K233" s="257">
        <v>6521468.6373981545</v>
      </c>
      <c r="L233" s="257">
        <v>811468.63739815447</v>
      </c>
      <c r="M233" s="257">
        <v>811468.63739815447</v>
      </c>
      <c r="Q233" s="163"/>
      <c r="R233" s="125"/>
      <c r="S233" s="124"/>
      <c r="T233" s="205"/>
    </row>
    <row r="234" spans="1:20" x14ac:dyDescent="0.2">
      <c r="A234" s="254" t="s">
        <v>629</v>
      </c>
      <c r="B234" s="254" t="s">
        <v>455</v>
      </c>
      <c r="C234" s="254">
        <v>0.11899999999999999</v>
      </c>
      <c r="D234" s="254">
        <v>0.17249999999999999</v>
      </c>
      <c r="E234" s="254">
        <v>0.14979999999999999</v>
      </c>
      <c r="F234" s="256">
        <v>377.75</v>
      </c>
      <c r="G234" s="257">
        <v>3414285714.2857146</v>
      </c>
      <c r="H234" s="257">
        <v>564691281.41483092</v>
      </c>
      <c r="I234" s="257">
        <v>4063</v>
      </c>
      <c r="J234" s="257">
        <v>1820</v>
      </c>
      <c r="K234" s="257">
        <v>8746561.4334471002</v>
      </c>
      <c r="L234" s="257">
        <v>2863561.4334471002</v>
      </c>
      <c r="M234" s="257">
        <v>2863561.4334471002</v>
      </c>
      <c r="Q234" s="163"/>
      <c r="R234" s="125"/>
      <c r="S234" s="124"/>
      <c r="T234" s="205"/>
    </row>
    <row r="235" spans="1:20" x14ac:dyDescent="0.2">
      <c r="A235" s="254" t="s">
        <v>637</v>
      </c>
      <c r="B235" s="254" t="s">
        <v>170</v>
      </c>
      <c r="C235" s="254">
        <v>0.2525</v>
      </c>
      <c r="D235" s="254">
        <v>0.46739999999999998</v>
      </c>
      <c r="E235" s="254">
        <v>0.3629</v>
      </c>
      <c r="F235" s="256">
        <v>343.88</v>
      </c>
      <c r="G235" s="257">
        <v>2386138613.8613863</v>
      </c>
      <c r="H235" s="257">
        <v>783331326.02673733</v>
      </c>
      <c r="I235" s="257">
        <v>6025</v>
      </c>
      <c r="J235" s="257">
        <v>6504</v>
      </c>
      <c r="K235" s="257">
        <v>7609142.4368861075</v>
      </c>
      <c r="L235" s="257">
        <v>-4919857.5631138925</v>
      </c>
      <c r="M235" s="257">
        <v>0</v>
      </c>
      <c r="Q235" s="163"/>
      <c r="R235" s="125"/>
      <c r="S235" s="124"/>
      <c r="T235" s="205"/>
    </row>
    <row r="236" spans="1:20" x14ac:dyDescent="0.2">
      <c r="A236" s="254" t="s">
        <v>631</v>
      </c>
      <c r="B236" s="254" t="s">
        <v>256</v>
      </c>
      <c r="C236" s="254">
        <v>0.12590000000000001</v>
      </c>
      <c r="D236" s="254">
        <v>0.26179999999999998</v>
      </c>
      <c r="E236" s="254">
        <v>0.19359999999999999</v>
      </c>
      <c r="F236" s="256">
        <v>310.43</v>
      </c>
      <c r="G236" s="257">
        <v>2256552819.698173</v>
      </c>
      <c r="H236" s="257">
        <v>456741326.30654371</v>
      </c>
      <c r="I236" s="257">
        <v>2841</v>
      </c>
      <c r="J236" s="257">
        <v>2080</v>
      </c>
      <c r="K236" s="257">
        <v>6102318.2841991773</v>
      </c>
      <c r="L236" s="257">
        <v>1181318.2841991773</v>
      </c>
      <c r="M236" s="257">
        <v>1181318.2841991773</v>
      </c>
      <c r="Q236" s="163"/>
      <c r="R236" s="125"/>
      <c r="S236" s="124"/>
      <c r="T236" s="205"/>
    </row>
    <row r="237" spans="1:20" x14ac:dyDescent="0.2">
      <c r="A237" s="254" t="s">
        <v>634</v>
      </c>
      <c r="B237" s="254" t="s">
        <v>211</v>
      </c>
      <c r="C237" s="254">
        <v>0.11990000000000001</v>
      </c>
      <c r="D237" s="254">
        <v>0.27660000000000001</v>
      </c>
      <c r="E237" s="254">
        <v>0.22090000000000001</v>
      </c>
      <c r="F237" s="256">
        <v>260.61</v>
      </c>
      <c r="G237" s="257">
        <v>3034195162.6355295</v>
      </c>
      <c r="H237" s="257">
        <v>726432160.80402005</v>
      </c>
      <c r="I237" s="257">
        <v>3638</v>
      </c>
      <c r="J237" s="257">
        <v>3614</v>
      </c>
      <c r="K237" s="257">
        <v>8637589.5071688723</v>
      </c>
      <c r="L237" s="257">
        <v>1385589.5071688723</v>
      </c>
      <c r="M237" s="257">
        <v>1385589.5071688723</v>
      </c>
      <c r="Q237" s="163"/>
      <c r="R237" s="125"/>
      <c r="S237" s="124"/>
      <c r="T237" s="205"/>
    </row>
    <row r="238" spans="1:20" x14ac:dyDescent="0.2">
      <c r="A238" s="254" t="s">
        <v>634</v>
      </c>
      <c r="B238" s="254" t="s">
        <v>212</v>
      </c>
      <c r="C238" s="254">
        <v>0.17100000000000001</v>
      </c>
      <c r="D238" s="254">
        <v>0.28389999999999999</v>
      </c>
      <c r="E238" s="254">
        <v>0.2228</v>
      </c>
      <c r="F238" s="256">
        <v>400.4</v>
      </c>
      <c r="G238" s="257">
        <v>1650292397.6608186</v>
      </c>
      <c r="H238" s="257">
        <v>315571343.99052697</v>
      </c>
      <c r="I238" s="257">
        <v>2822</v>
      </c>
      <c r="J238" s="257">
        <v>1599</v>
      </c>
      <c r="K238" s="257">
        <v>4391762.5398606043</v>
      </c>
      <c r="L238" s="257">
        <v>-29237.460139395669</v>
      </c>
      <c r="M238" s="257">
        <v>0</v>
      </c>
      <c r="Q238" s="163"/>
      <c r="R238" s="125"/>
      <c r="S238" s="124"/>
      <c r="T238" s="205"/>
    </row>
    <row r="239" spans="1:20" x14ac:dyDescent="0.2">
      <c r="A239" s="254" t="s">
        <v>634</v>
      </c>
      <c r="B239" s="254" t="s">
        <v>213</v>
      </c>
      <c r="C239" s="254">
        <v>0.1166</v>
      </c>
      <c r="D239" s="254">
        <v>0.1993</v>
      </c>
      <c r="E239" s="254">
        <v>0.1454</v>
      </c>
      <c r="F239" s="256">
        <v>284.45</v>
      </c>
      <c r="G239" s="257">
        <v>1746998284.734134</v>
      </c>
      <c r="H239" s="257">
        <v>545691906.00522196</v>
      </c>
      <c r="I239" s="257">
        <v>2037</v>
      </c>
      <c r="J239" s="257">
        <v>1881</v>
      </c>
      <c r="K239" s="257">
        <v>5463885.5362333134</v>
      </c>
      <c r="L239" s="257">
        <v>1545885.5362333134</v>
      </c>
      <c r="M239" s="257">
        <v>1545885.5362333134</v>
      </c>
      <c r="Q239" s="163"/>
      <c r="R239" s="125"/>
      <c r="S239" s="124"/>
      <c r="T239" s="205"/>
    </row>
    <row r="240" spans="1:20" x14ac:dyDescent="0.2">
      <c r="A240" s="254" t="s">
        <v>638</v>
      </c>
      <c r="B240" s="254" t="s">
        <v>497</v>
      </c>
      <c r="C240" s="254">
        <v>0.17888999999999999</v>
      </c>
      <c r="D240" s="254">
        <v>0.17888999999999999</v>
      </c>
      <c r="E240" s="254">
        <v>0.12769</v>
      </c>
      <c r="F240" s="256">
        <v>317.37</v>
      </c>
      <c r="G240" s="257">
        <v>629996086.98082626</v>
      </c>
      <c r="H240" s="257">
        <v>61647857.003066093</v>
      </c>
      <c r="I240" s="257">
        <v>1127</v>
      </c>
      <c r="J240" s="257">
        <v>189</v>
      </c>
      <c r="K240" s="257">
        <v>1450086.7168998951</v>
      </c>
      <c r="L240" s="257">
        <v>134086.71689989511</v>
      </c>
      <c r="M240" s="257">
        <v>134086.71689989511</v>
      </c>
      <c r="Q240" s="163"/>
      <c r="R240" s="125"/>
      <c r="S240" s="124"/>
      <c r="T240" s="205"/>
    </row>
    <row r="241" spans="1:20" x14ac:dyDescent="0.2">
      <c r="A241" s="254" t="s">
        <v>631</v>
      </c>
      <c r="B241" s="254" t="s">
        <v>257</v>
      </c>
      <c r="C241" s="254">
        <v>0.13370000000000001</v>
      </c>
      <c r="D241" s="254">
        <v>0.17810000000000001</v>
      </c>
      <c r="E241" s="254">
        <v>0.1739</v>
      </c>
      <c r="F241" s="256">
        <v>272.20999999999998</v>
      </c>
      <c r="G241" s="257">
        <v>2565445026.1780105</v>
      </c>
      <c r="H241" s="257">
        <v>756250000.00000012</v>
      </c>
      <c r="I241" s="257">
        <v>3430</v>
      </c>
      <c r="J241" s="257">
        <v>2662</v>
      </c>
      <c r="K241" s="257">
        <v>7850044.1753926706</v>
      </c>
      <c r="L241" s="257">
        <v>1758044.1753926706</v>
      </c>
      <c r="M241" s="257">
        <v>1758044.1753926706</v>
      </c>
      <c r="Q241" s="163"/>
      <c r="R241" s="125"/>
      <c r="S241" s="105"/>
      <c r="T241" s="205"/>
    </row>
    <row r="242" spans="1:20" x14ac:dyDescent="0.2">
      <c r="A242" s="254" t="s">
        <v>629</v>
      </c>
      <c r="B242" s="254" t="s">
        <v>456</v>
      </c>
      <c r="C242" s="254">
        <v>0.11559999999999999</v>
      </c>
      <c r="D242" s="254">
        <v>0.2016</v>
      </c>
      <c r="E242" s="254">
        <v>0.1762</v>
      </c>
      <c r="F242" s="256">
        <v>261.89</v>
      </c>
      <c r="G242" s="257">
        <v>5486159169.5501738</v>
      </c>
      <c r="H242" s="257">
        <v>1659343568.0254102</v>
      </c>
      <c r="I242" s="257">
        <v>6342</v>
      </c>
      <c r="J242" s="257">
        <v>6269</v>
      </c>
      <c r="K242" s="257">
        <v>16949329.138281915</v>
      </c>
      <c r="L242" s="257">
        <v>4338329.1382819153</v>
      </c>
      <c r="M242" s="257">
        <v>4338329.1382819153</v>
      </c>
      <c r="Q242" s="163"/>
      <c r="R242" s="125"/>
      <c r="S242" s="124"/>
      <c r="T242" s="205"/>
    </row>
    <row r="243" spans="1:20" x14ac:dyDescent="0.2">
      <c r="A243" s="254" t="s">
        <v>632</v>
      </c>
      <c r="B243" s="254" t="s">
        <v>191</v>
      </c>
      <c r="C243" s="254">
        <v>0.1084</v>
      </c>
      <c r="D243" s="254">
        <v>8.2199999999999995E-2</v>
      </c>
      <c r="E243" s="254">
        <v>7.0999999999999994E-2</v>
      </c>
      <c r="F243" s="256">
        <v>204.33</v>
      </c>
      <c r="G243" s="257">
        <v>2192804428.0442805</v>
      </c>
      <c r="H243" s="257">
        <v>470626631.85378593</v>
      </c>
      <c r="I243" s="257">
        <v>2377</v>
      </c>
      <c r="J243" s="257">
        <v>721</v>
      </c>
      <c r="K243" s="257">
        <v>6033061.0566223171</v>
      </c>
      <c r="L243" s="257">
        <v>2935061.0566223171</v>
      </c>
      <c r="M243" s="257">
        <v>2935061.0566223171</v>
      </c>
      <c r="Q243" s="163"/>
      <c r="R243" s="125"/>
      <c r="S243" s="124"/>
      <c r="T243" s="205"/>
    </row>
    <row r="244" spans="1:20" x14ac:dyDescent="0.2">
      <c r="A244" s="254" t="s">
        <v>630</v>
      </c>
      <c r="B244" s="254" t="s">
        <v>330</v>
      </c>
      <c r="C244" s="254">
        <v>0.1143</v>
      </c>
      <c r="D244" s="254">
        <v>0.22020000000000001</v>
      </c>
      <c r="E244" s="254">
        <v>0.17169999999999999</v>
      </c>
      <c r="F244" s="256">
        <v>319.97000000000003</v>
      </c>
      <c r="G244" s="257">
        <v>1152230971.1286089</v>
      </c>
      <c r="H244" s="257">
        <v>169686144.4245981</v>
      </c>
      <c r="I244" s="257">
        <v>1317</v>
      </c>
      <c r="J244" s="257">
        <v>665</v>
      </c>
      <c r="K244" s="257">
        <v>2871336.2754572751</v>
      </c>
      <c r="L244" s="257">
        <v>889336.2754572751</v>
      </c>
      <c r="M244" s="257">
        <v>889336.2754572751</v>
      </c>
      <c r="Q244" s="163"/>
      <c r="R244" s="125"/>
      <c r="S244" s="124"/>
      <c r="T244" s="205"/>
    </row>
    <row r="245" spans="1:20" x14ac:dyDescent="0.2">
      <c r="A245" s="254" t="s">
        <v>630</v>
      </c>
      <c r="B245" s="254" t="s">
        <v>331</v>
      </c>
      <c r="C245" s="254">
        <v>0.10780000000000001</v>
      </c>
      <c r="D245" s="254">
        <v>0.14299999999999999</v>
      </c>
      <c r="E245" s="254">
        <v>0.11700000000000001</v>
      </c>
      <c r="F245" s="256">
        <v>258.10000000000002</v>
      </c>
      <c r="G245" s="257">
        <v>1108534322.8200371</v>
      </c>
      <c r="H245" s="257">
        <v>228461538.46153846</v>
      </c>
      <c r="I245" s="257">
        <v>1195</v>
      </c>
      <c r="J245" s="257">
        <v>594</v>
      </c>
      <c r="K245" s="257">
        <v>3013505.4945054944</v>
      </c>
      <c r="L245" s="257">
        <v>1224505.4945054944</v>
      </c>
      <c r="M245" s="257">
        <v>1224505.4945054944</v>
      </c>
      <c r="Q245" s="163"/>
      <c r="R245" s="125"/>
      <c r="S245" s="124"/>
      <c r="T245" s="205"/>
    </row>
    <row r="246" spans="1:20" x14ac:dyDescent="0.2">
      <c r="A246" s="254" t="s">
        <v>632</v>
      </c>
      <c r="B246" s="254" t="s">
        <v>192</v>
      </c>
      <c r="C246" s="254">
        <v>0.1149</v>
      </c>
      <c r="D246" s="254">
        <v>0.16839999999999999</v>
      </c>
      <c r="E246" s="254">
        <v>0.12859999999999999</v>
      </c>
      <c r="F246" s="256">
        <v>249.1</v>
      </c>
      <c r="G246" s="257">
        <v>2633594429.9390774</v>
      </c>
      <c r="H246" s="257">
        <v>586868686.86868691</v>
      </c>
      <c r="I246" s="257">
        <v>3026</v>
      </c>
      <c r="J246" s="257">
        <v>1743</v>
      </c>
      <c r="K246" s="257">
        <v>7329113.7220771685</v>
      </c>
      <c r="L246" s="257">
        <v>2560113.7220771685</v>
      </c>
      <c r="M246" s="257">
        <v>2560113.7220771685</v>
      </c>
      <c r="Q246" s="163"/>
      <c r="R246" s="125"/>
      <c r="S246" s="124"/>
      <c r="T246" s="205"/>
    </row>
    <row r="247" spans="1:20" x14ac:dyDescent="0.2">
      <c r="A247" s="254" t="s">
        <v>629</v>
      </c>
      <c r="B247" s="254" t="s">
        <v>457</v>
      </c>
      <c r="C247" s="254">
        <v>0.1263</v>
      </c>
      <c r="D247" s="254">
        <v>0.24540000000000001</v>
      </c>
      <c r="E247" s="254">
        <v>0.1983</v>
      </c>
      <c r="F247" s="256">
        <v>275.04000000000002</v>
      </c>
      <c r="G247" s="257">
        <v>8424386381.6310368</v>
      </c>
      <c r="H247" s="257">
        <v>1749380211.854857</v>
      </c>
      <c r="I247" s="257">
        <v>10640</v>
      </c>
      <c r="J247" s="257">
        <v>7762</v>
      </c>
      <c r="K247" s="257">
        <v>22952057.600280944</v>
      </c>
      <c r="L247" s="257">
        <v>4550057.6002809443</v>
      </c>
      <c r="M247" s="257">
        <v>4550057.6002809443</v>
      </c>
      <c r="Q247" s="163"/>
      <c r="R247" s="125"/>
      <c r="S247" s="124"/>
      <c r="T247" s="205"/>
    </row>
    <row r="248" spans="1:20" x14ac:dyDescent="0.2">
      <c r="A248" s="254" t="s">
        <v>633</v>
      </c>
      <c r="B248" s="254" t="s">
        <v>382</v>
      </c>
      <c r="C248" s="254">
        <v>0.13724</v>
      </c>
      <c r="D248" s="254">
        <v>0.31929999999999997</v>
      </c>
      <c r="E248" s="254">
        <v>0.26391999999999999</v>
      </c>
      <c r="F248" s="256">
        <v>325.91000000000003</v>
      </c>
      <c r="G248" s="257">
        <v>2438064704.167881</v>
      </c>
      <c r="H248" s="257">
        <v>525187750.76300544</v>
      </c>
      <c r="I248" s="257">
        <v>3346</v>
      </c>
      <c r="J248" s="257">
        <v>3063</v>
      </c>
      <c r="K248" s="257">
        <v>6715247.3959607426</v>
      </c>
      <c r="L248" s="257">
        <v>306247.39596074261</v>
      </c>
      <c r="M248" s="257">
        <v>306247.39596074261</v>
      </c>
      <c r="Q248" s="163"/>
      <c r="R248" s="125"/>
      <c r="S248" s="124"/>
      <c r="T248" s="205"/>
    </row>
    <row r="249" spans="1:20" x14ac:dyDescent="0.2">
      <c r="A249" s="254" t="s">
        <v>631</v>
      </c>
      <c r="B249" s="254" t="s">
        <v>258</v>
      </c>
      <c r="C249" s="254">
        <v>0.16619999999999999</v>
      </c>
      <c r="D249" s="254">
        <v>0.1946</v>
      </c>
      <c r="E249" s="254">
        <v>0.16158</v>
      </c>
      <c r="F249" s="256">
        <v>326.54000000000002</v>
      </c>
      <c r="G249" s="257">
        <v>3341155234.6570401</v>
      </c>
      <c r="H249" s="257">
        <v>737267673.64815545</v>
      </c>
      <c r="I249" s="257">
        <v>5553</v>
      </c>
      <c r="J249" s="257">
        <v>2626</v>
      </c>
      <c r="K249" s="257">
        <v>9270204.3702602014</v>
      </c>
      <c r="L249" s="257">
        <v>1091204.3702602014</v>
      </c>
      <c r="M249" s="257">
        <v>1091204.3702602014</v>
      </c>
      <c r="Q249" s="163"/>
      <c r="R249" s="125"/>
      <c r="S249" s="124"/>
      <c r="T249" s="205"/>
    </row>
    <row r="250" spans="1:20" x14ac:dyDescent="0.2">
      <c r="A250" s="254" t="s">
        <v>630</v>
      </c>
      <c r="B250" s="254" t="s">
        <v>332</v>
      </c>
      <c r="C250" s="254">
        <v>7.5200000000000003E-2</v>
      </c>
      <c r="D250" s="254">
        <v>0.247</v>
      </c>
      <c r="E250" s="254">
        <v>0.21390000000000001</v>
      </c>
      <c r="F250" s="256">
        <v>264.33</v>
      </c>
      <c r="G250" s="257">
        <v>2135638297.8723402</v>
      </c>
      <c r="H250" s="257">
        <v>624213495.33521378</v>
      </c>
      <c r="I250" s="257">
        <v>1606</v>
      </c>
      <c r="J250" s="257">
        <v>2877</v>
      </c>
      <c r="K250" s="257">
        <v>6514325.6804448282</v>
      </c>
      <c r="L250" s="257">
        <v>2031325.6804448282</v>
      </c>
      <c r="M250" s="257">
        <v>2031325.6804448282</v>
      </c>
      <c r="Q250" s="163"/>
      <c r="R250" s="125"/>
      <c r="S250" s="124"/>
      <c r="T250" s="205"/>
    </row>
    <row r="251" spans="1:20" x14ac:dyDescent="0.2">
      <c r="A251" s="254" t="s">
        <v>636</v>
      </c>
      <c r="B251" s="254" t="s">
        <v>288</v>
      </c>
      <c r="C251" s="254">
        <v>0.114</v>
      </c>
      <c r="D251" s="254">
        <v>0.22770000000000001</v>
      </c>
      <c r="E251" s="254">
        <v>0.17150000000000001</v>
      </c>
      <c r="F251" s="256">
        <v>330.8</v>
      </c>
      <c r="G251" s="257">
        <v>1185087719.2982457</v>
      </c>
      <c r="H251" s="257">
        <v>201903807.61523047</v>
      </c>
      <c r="I251" s="257">
        <v>1351</v>
      </c>
      <c r="J251" s="257">
        <v>806</v>
      </c>
      <c r="K251" s="257">
        <v>3058623.5189677607</v>
      </c>
      <c r="L251" s="257">
        <v>901623.51896776073</v>
      </c>
      <c r="M251" s="257">
        <v>901623.51896776073</v>
      </c>
      <c r="Q251" s="163"/>
      <c r="R251" s="125"/>
      <c r="S251" s="124"/>
      <c r="T251" s="205"/>
    </row>
    <row r="252" spans="1:20" x14ac:dyDescent="0.2">
      <c r="A252" s="254" t="s">
        <v>631</v>
      </c>
      <c r="B252" s="254" t="s">
        <v>259</v>
      </c>
      <c r="C252" s="254">
        <v>0.1096</v>
      </c>
      <c r="D252" s="254">
        <v>0.1502</v>
      </c>
      <c r="E252" s="254">
        <v>0.1215</v>
      </c>
      <c r="F252" s="256">
        <v>260.14999999999998</v>
      </c>
      <c r="G252" s="257">
        <v>4469890510.948905</v>
      </c>
      <c r="H252" s="257">
        <v>889216047.11078405</v>
      </c>
      <c r="I252" s="257">
        <v>4899</v>
      </c>
      <c r="J252" s="257">
        <v>2416</v>
      </c>
      <c r="K252" s="257">
        <v>12028021.014953161</v>
      </c>
      <c r="L252" s="257">
        <v>4713021.0149531607</v>
      </c>
      <c r="M252" s="257">
        <v>4713021.0149531607</v>
      </c>
      <c r="Q252" s="163"/>
      <c r="R252" s="125"/>
      <c r="S252" s="124"/>
      <c r="T252" s="205"/>
    </row>
    <row r="253" spans="1:20" x14ac:dyDescent="0.2">
      <c r="A253" s="254" t="s">
        <v>633</v>
      </c>
      <c r="B253" s="254" t="s">
        <v>383</v>
      </c>
      <c r="C253" s="254">
        <v>0.12609999999999999</v>
      </c>
      <c r="D253" s="254">
        <v>0.2167</v>
      </c>
      <c r="E253" s="254">
        <v>0.17899999999999999</v>
      </c>
      <c r="F253" s="256">
        <v>255.54</v>
      </c>
      <c r="G253" s="257">
        <v>2909595559.0800953</v>
      </c>
      <c r="H253" s="257">
        <v>550416982.56254745</v>
      </c>
      <c r="I253" s="257">
        <v>3669</v>
      </c>
      <c r="J253" s="257">
        <v>2178</v>
      </c>
      <c r="K253" s="257">
        <v>7720076.8340949919</v>
      </c>
      <c r="L253" s="257">
        <v>1873076.8340949919</v>
      </c>
      <c r="M253" s="257">
        <v>1873076.8340949919</v>
      </c>
      <c r="Q253" s="163"/>
      <c r="R253" s="125"/>
      <c r="S253" s="124"/>
      <c r="T253" s="205"/>
    </row>
    <row r="254" spans="1:20" x14ac:dyDescent="0.2">
      <c r="A254" s="254" t="s">
        <v>638</v>
      </c>
      <c r="B254" s="254" t="s">
        <v>498</v>
      </c>
      <c r="C254" s="254">
        <v>0.1042</v>
      </c>
      <c r="D254" s="254">
        <v>0.20030000000000001</v>
      </c>
      <c r="E254" s="254">
        <v>0.16039999999999999</v>
      </c>
      <c r="F254" s="256">
        <v>243.75</v>
      </c>
      <c r="G254" s="257">
        <v>4056621880.9980807</v>
      </c>
      <c r="H254" s="257">
        <v>891599667.31355691</v>
      </c>
      <c r="I254" s="257">
        <v>4227</v>
      </c>
      <c r="J254" s="257">
        <v>3216</v>
      </c>
      <c r="K254" s="257">
        <v>11241655.840078499</v>
      </c>
      <c r="L254" s="257">
        <v>3798655.8400784992</v>
      </c>
      <c r="M254" s="257">
        <v>3798655.8400784992</v>
      </c>
      <c r="Q254" s="163"/>
      <c r="R254" s="125"/>
      <c r="S254" s="124"/>
      <c r="T254" s="205"/>
    </row>
    <row r="255" spans="1:20" x14ac:dyDescent="0.2">
      <c r="A255" s="254" t="s">
        <v>637</v>
      </c>
      <c r="B255" s="254" t="s">
        <v>171</v>
      </c>
      <c r="C255" s="254">
        <v>0.23100000000000001</v>
      </c>
      <c r="D255" s="254">
        <v>0.46389999999999998</v>
      </c>
      <c r="E255" s="254">
        <v>0.25840000000000002</v>
      </c>
      <c r="F255" s="256">
        <v>293.66000000000003</v>
      </c>
      <c r="G255" s="257">
        <v>698268398.26839828</v>
      </c>
      <c r="H255" s="257">
        <v>122525266.5097605</v>
      </c>
      <c r="I255" s="257">
        <v>1613</v>
      </c>
      <c r="J255" s="257">
        <v>885</v>
      </c>
      <c r="K255" s="257">
        <v>1815888.9427292447</v>
      </c>
      <c r="L255" s="257">
        <v>-682111.05727075529</v>
      </c>
      <c r="M255" s="257">
        <v>0</v>
      </c>
      <c r="Q255" s="163"/>
      <c r="R255" s="125"/>
      <c r="S255" s="124"/>
      <c r="T255" s="205"/>
    </row>
    <row r="256" spans="1:20" x14ac:dyDescent="0.2">
      <c r="A256" s="254" t="s">
        <v>633</v>
      </c>
      <c r="B256" s="254" t="s">
        <v>384</v>
      </c>
      <c r="C256" s="254">
        <v>0.1031</v>
      </c>
      <c r="D256" s="254">
        <v>0.2266</v>
      </c>
      <c r="E256" s="254">
        <v>0.16120000000000001</v>
      </c>
      <c r="F256" s="256">
        <v>298.97000000000003</v>
      </c>
      <c r="G256" s="257">
        <v>6019398642.0950537</v>
      </c>
      <c r="H256" s="257">
        <v>943527591.54203188</v>
      </c>
      <c r="I256" s="257">
        <v>6206</v>
      </c>
      <c r="J256" s="257">
        <v>3659</v>
      </c>
      <c r="K256" s="257">
        <v>15219923.613469802</v>
      </c>
      <c r="L256" s="257">
        <v>5354923.6134698018</v>
      </c>
      <c r="M256" s="257">
        <v>5354923.6134698018</v>
      </c>
      <c r="Q256" s="163"/>
      <c r="R256" s="125"/>
      <c r="S256" s="124"/>
      <c r="T256" s="205"/>
    </row>
    <row r="257" spans="1:20" x14ac:dyDescent="0.2">
      <c r="A257" s="254" t="s">
        <v>630</v>
      </c>
      <c r="B257" s="254" t="s">
        <v>333</v>
      </c>
      <c r="C257" s="254">
        <v>0.11020000000000001</v>
      </c>
      <c r="D257" s="254">
        <v>0.20849999999999999</v>
      </c>
      <c r="E257" s="254">
        <v>0.192</v>
      </c>
      <c r="F257" s="256">
        <v>229</v>
      </c>
      <c r="G257" s="257">
        <v>7436479128.8566236</v>
      </c>
      <c r="H257" s="257">
        <v>1103370786.516854</v>
      </c>
      <c r="I257" s="257">
        <v>8195</v>
      </c>
      <c r="J257" s="257">
        <v>4419</v>
      </c>
      <c r="K257" s="257">
        <v>18563199.85113889</v>
      </c>
      <c r="L257" s="257">
        <v>5949199.8511388898</v>
      </c>
      <c r="M257" s="257">
        <v>5949199.8511388898</v>
      </c>
      <c r="Q257" s="163"/>
      <c r="R257" s="125"/>
      <c r="S257" s="124"/>
      <c r="T257" s="205"/>
    </row>
    <row r="258" spans="1:20" x14ac:dyDescent="0.2">
      <c r="A258" s="254" t="s">
        <v>631</v>
      </c>
      <c r="B258" s="254" t="s">
        <v>260</v>
      </c>
      <c r="C258" s="254">
        <v>7.6300000000000007E-2</v>
      </c>
      <c r="D258" s="254">
        <v>0.1578</v>
      </c>
      <c r="E258" s="254">
        <v>0.12790000000000001</v>
      </c>
      <c r="F258" s="256">
        <v>235.68</v>
      </c>
      <c r="G258" s="257">
        <v>2967234600.2621226</v>
      </c>
      <c r="H258" s="257">
        <v>463773188.65943295</v>
      </c>
      <c r="I258" s="257">
        <v>2264</v>
      </c>
      <c r="J258" s="257">
        <v>1325</v>
      </c>
      <c r="K258" s="257">
        <v>7497453.381843403</v>
      </c>
      <c r="L258" s="257">
        <v>3908453.381843403</v>
      </c>
      <c r="M258" s="257">
        <v>3908453.381843403</v>
      </c>
      <c r="Q258" s="163"/>
      <c r="R258" s="125"/>
      <c r="S258" s="124"/>
      <c r="T258" s="205"/>
    </row>
    <row r="259" spans="1:20" x14ac:dyDescent="0.2">
      <c r="A259" s="254" t="s">
        <v>634</v>
      </c>
      <c r="B259" s="254" t="s">
        <v>214</v>
      </c>
      <c r="C259" s="254">
        <v>0.1381</v>
      </c>
      <c r="D259" s="254">
        <v>0.23139999999999999</v>
      </c>
      <c r="E259" s="254">
        <v>0.1885</v>
      </c>
      <c r="F259" s="256">
        <v>324.94</v>
      </c>
      <c r="G259" s="257">
        <v>3535843591.6002893</v>
      </c>
      <c r="H259" s="257">
        <v>861633722.31483698</v>
      </c>
      <c r="I259" s="257">
        <v>4883</v>
      </c>
      <c r="J259" s="257">
        <v>3618</v>
      </c>
      <c r="K259" s="257">
        <v>10123788.74474268</v>
      </c>
      <c r="L259" s="257">
        <v>1622788.7447426803</v>
      </c>
      <c r="M259" s="257">
        <v>1622788.7447426803</v>
      </c>
      <c r="Q259" s="163"/>
      <c r="R259" s="125"/>
      <c r="S259" s="124"/>
      <c r="T259" s="205"/>
    </row>
    <row r="260" spans="1:20" x14ac:dyDescent="0.2">
      <c r="A260" s="254" t="s">
        <v>640</v>
      </c>
      <c r="B260" s="254" t="s">
        <v>409</v>
      </c>
      <c r="C260" s="254">
        <v>0.10639999999999999</v>
      </c>
      <c r="D260" s="254">
        <v>0.18329999999999999</v>
      </c>
      <c r="E260" s="254">
        <v>0.14860000000000001</v>
      </c>
      <c r="F260" s="256">
        <v>207.21</v>
      </c>
      <c r="G260" s="257">
        <v>1713345864.6616545</v>
      </c>
      <c r="H260" s="257">
        <v>544139801.14492321</v>
      </c>
      <c r="I260" s="257">
        <v>1823</v>
      </c>
      <c r="J260" s="257">
        <v>1806</v>
      </c>
      <c r="K260" s="257">
        <v>5393129.0238816394</v>
      </c>
      <c r="L260" s="257">
        <v>1764129.0238816394</v>
      </c>
      <c r="M260" s="257">
        <v>1764129.0238816394</v>
      </c>
      <c r="Q260" s="163"/>
      <c r="R260" s="125"/>
      <c r="S260" s="124"/>
      <c r="T260" s="205"/>
    </row>
    <row r="261" spans="1:20" x14ac:dyDescent="0.2">
      <c r="A261" s="254" t="s">
        <v>631</v>
      </c>
      <c r="B261" s="254" t="s">
        <v>261</v>
      </c>
      <c r="C261" s="254">
        <v>0.11849999999999999</v>
      </c>
      <c r="D261" s="254">
        <v>0.26500000000000001</v>
      </c>
      <c r="E261" s="254">
        <v>0.2104</v>
      </c>
      <c r="F261" s="256">
        <v>306.81</v>
      </c>
      <c r="G261" s="257">
        <v>3732489451.4767938</v>
      </c>
      <c r="H261" s="257">
        <v>455195624.73706347</v>
      </c>
      <c r="I261" s="257">
        <v>4423</v>
      </c>
      <c r="J261" s="257">
        <v>2164</v>
      </c>
      <c r="K261" s="257">
        <v>8937545.3493305221</v>
      </c>
      <c r="L261" s="257">
        <v>2350545.3493305221</v>
      </c>
      <c r="M261" s="257">
        <v>2350545.3493305221</v>
      </c>
      <c r="Q261" s="163"/>
      <c r="R261" s="125"/>
      <c r="S261" s="124"/>
      <c r="T261" s="205"/>
    </row>
    <row r="262" spans="1:20" x14ac:dyDescent="0.2">
      <c r="A262" s="254" t="s">
        <v>636</v>
      </c>
      <c r="B262" s="254" t="s">
        <v>289</v>
      </c>
      <c r="C262" s="254">
        <v>8.6900000000000005E-2</v>
      </c>
      <c r="D262" s="254">
        <v>0.1615</v>
      </c>
      <c r="E262" s="254">
        <v>0.14510000000000001</v>
      </c>
      <c r="F262" s="256">
        <v>250.21</v>
      </c>
      <c r="G262" s="257">
        <v>548906789.41311848</v>
      </c>
      <c r="H262" s="257">
        <v>169602087.4103066</v>
      </c>
      <c r="I262" s="257">
        <v>477</v>
      </c>
      <c r="J262" s="257">
        <v>520</v>
      </c>
      <c r="K262" s="257">
        <v>1709613.6061499335</v>
      </c>
      <c r="L262" s="257">
        <v>712613.60614993353</v>
      </c>
      <c r="M262" s="257">
        <v>712613.60614993353</v>
      </c>
      <c r="Q262" s="163"/>
      <c r="R262" s="125"/>
      <c r="S262" s="124"/>
      <c r="T262" s="205"/>
    </row>
    <row r="263" spans="1:20" x14ac:dyDescent="0.2">
      <c r="A263" s="254" t="s">
        <v>629</v>
      </c>
      <c r="B263" s="254" t="s">
        <v>458</v>
      </c>
      <c r="C263" s="254">
        <v>0.113</v>
      </c>
      <c r="D263" s="254">
        <v>0.22570000000000001</v>
      </c>
      <c r="E263" s="254">
        <v>0.1434</v>
      </c>
      <c r="F263" s="256">
        <v>304.32</v>
      </c>
      <c r="G263" s="257">
        <v>1385840707.9646018</v>
      </c>
      <c r="H263" s="257">
        <v>282037388.24166894</v>
      </c>
      <c r="I263" s="257">
        <v>1566</v>
      </c>
      <c r="J263" s="257">
        <v>1041</v>
      </c>
      <c r="K263" s="257">
        <v>3753587.3075622842</v>
      </c>
      <c r="L263" s="257">
        <v>1146587.3075622842</v>
      </c>
      <c r="M263" s="257">
        <v>1146587.3075622842</v>
      </c>
      <c r="Q263" s="163"/>
      <c r="R263" s="125"/>
      <c r="S263" s="124"/>
      <c r="T263" s="205"/>
    </row>
    <row r="264" spans="1:20" x14ac:dyDescent="0.2">
      <c r="A264" s="254" t="s">
        <v>631</v>
      </c>
      <c r="B264" s="254" t="s">
        <v>262</v>
      </c>
      <c r="C264" s="254">
        <v>0.1368</v>
      </c>
      <c r="D264" s="254">
        <v>0.23830000000000001</v>
      </c>
      <c r="E264" s="254">
        <v>0.19139999999999999</v>
      </c>
      <c r="F264" s="256">
        <v>287.98</v>
      </c>
      <c r="G264" s="257">
        <v>4309941520.4678364</v>
      </c>
      <c r="H264" s="257">
        <v>569001629.04351878</v>
      </c>
      <c r="I264" s="257">
        <v>5896</v>
      </c>
      <c r="J264" s="257">
        <v>2445</v>
      </c>
      <c r="K264" s="257">
        <v>10487293.698718132</v>
      </c>
      <c r="L264" s="257">
        <v>2146293.6987181325</v>
      </c>
      <c r="M264" s="257">
        <v>2146293.6987181325</v>
      </c>
      <c r="Q264" s="163"/>
      <c r="R264" s="125"/>
      <c r="S264" s="124"/>
      <c r="T264" s="205"/>
    </row>
    <row r="265" spans="1:20" x14ac:dyDescent="0.2">
      <c r="A265" s="254" t="s">
        <v>636</v>
      </c>
      <c r="B265" s="254" t="s">
        <v>290</v>
      </c>
      <c r="C265" s="254">
        <v>0.1376</v>
      </c>
      <c r="D265" s="254">
        <v>0.25409999999999999</v>
      </c>
      <c r="E265" s="254">
        <v>0.20080000000000001</v>
      </c>
      <c r="F265" s="256">
        <v>367.1</v>
      </c>
      <c r="G265" s="257">
        <v>2117732558.1395347</v>
      </c>
      <c r="H265" s="257">
        <v>290173664.54165751</v>
      </c>
      <c r="I265" s="257">
        <v>2914</v>
      </c>
      <c r="J265" s="257">
        <v>1320</v>
      </c>
      <c r="K265" s="257">
        <v>5193803.7829039861</v>
      </c>
      <c r="L265" s="257">
        <v>959803.78290398605</v>
      </c>
      <c r="M265" s="257">
        <v>959803.78290398605</v>
      </c>
      <c r="Q265" s="163"/>
      <c r="R265" s="125"/>
      <c r="S265" s="124"/>
      <c r="T265" s="205"/>
    </row>
    <row r="266" spans="1:20" x14ac:dyDescent="0.2">
      <c r="A266" s="254" t="s">
        <v>633</v>
      </c>
      <c r="B266" s="254" t="s">
        <v>385</v>
      </c>
      <c r="C266" s="254">
        <v>0.1285</v>
      </c>
      <c r="D266" s="254">
        <v>0.2601</v>
      </c>
      <c r="E266" s="254">
        <v>0.2069</v>
      </c>
      <c r="F266" s="256">
        <v>252.93</v>
      </c>
      <c r="G266" s="257">
        <v>4021011673.1517506</v>
      </c>
      <c r="H266" s="257">
        <v>818629550.32119918</v>
      </c>
      <c r="I266" s="257">
        <v>5167</v>
      </c>
      <c r="J266" s="257">
        <v>3823</v>
      </c>
      <c r="K266" s="257">
        <v>10892171.239553737</v>
      </c>
      <c r="L266" s="257">
        <v>1902171.2395537365</v>
      </c>
      <c r="M266" s="257">
        <v>1902171.2395537365</v>
      </c>
      <c r="Q266" s="163"/>
      <c r="R266" s="125"/>
      <c r="S266" s="124"/>
      <c r="T266" s="205"/>
    </row>
    <row r="267" spans="1:20" x14ac:dyDescent="0.2">
      <c r="A267" s="254" t="s">
        <v>634</v>
      </c>
      <c r="B267" s="254" t="s">
        <v>215</v>
      </c>
      <c r="C267" s="254">
        <v>0.1046</v>
      </c>
      <c r="D267" s="254">
        <v>0.21920000000000001</v>
      </c>
      <c r="E267" s="254">
        <v>0.1749</v>
      </c>
      <c r="F267" s="256">
        <v>239.49</v>
      </c>
      <c r="G267" s="257">
        <v>3330783938.8145313</v>
      </c>
      <c r="H267" s="257">
        <v>835320984.52169502</v>
      </c>
      <c r="I267" s="257">
        <v>3484</v>
      </c>
      <c r="J267" s="257">
        <v>3292</v>
      </c>
      <c r="K267" s="257">
        <v>9627744.8726264983</v>
      </c>
      <c r="L267" s="257">
        <v>2851744.8726264983</v>
      </c>
      <c r="M267" s="257">
        <v>2851744.8726264983</v>
      </c>
      <c r="Q267" s="163"/>
      <c r="R267" s="125"/>
      <c r="S267" s="124"/>
      <c r="T267" s="205"/>
    </row>
    <row r="268" spans="1:20" x14ac:dyDescent="0.2">
      <c r="A268" s="254" t="s">
        <v>633</v>
      </c>
      <c r="B268" s="254" t="s">
        <v>386</v>
      </c>
      <c r="C268" s="254">
        <v>0.1046</v>
      </c>
      <c r="D268" s="254">
        <v>0.48110000000000003</v>
      </c>
      <c r="E268" s="254">
        <v>0</v>
      </c>
      <c r="F268" s="256">
        <v>216.5</v>
      </c>
      <c r="G268" s="257">
        <v>5247609942.6386232</v>
      </c>
      <c r="H268" s="257">
        <v>1277904801.4965703</v>
      </c>
      <c r="I268" s="257">
        <v>5489</v>
      </c>
      <c r="J268" s="257">
        <v>6148</v>
      </c>
      <c r="K268" s="257">
        <v>15021582.625341147</v>
      </c>
      <c r="L268" s="257">
        <v>3384582.6253411472</v>
      </c>
      <c r="M268" s="257">
        <v>3384582.6253411472</v>
      </c>
      <c r="Q268" s="163"/>
      <c r="R268" s="125"/>
      <c r="S268" s="124"/>
      <c r="T268" s="205"/>
    </row>
    <row r="269" spans="1:20" x14ac:dyDescent="0.2">
      <c r="A269" s="254" t="s">
        <v>638</v>
      </c>
      <c r="B269" s="254" t="s">
        <v>499</v>
      </c>
      <c r="C269" s="254">
        <v>0.1258</v>
      </c>
      <c r="D269" s="254">
        <v>0.16250000000000001</v>
      </c>
      <c r="E269" s="254">
        <v>0.128</v>
      </c>
      <c r="F269" s="256">
        <v>264.02999999999997</v>
      </c>
      <c r="G269" s="257">
        <v>1917329093.7996821</v>
      </c>
      <c r="H269" s="257">
        <v>250258175.55938041</v>
      </c>
      <c r="I269" s="257">
        <v>2412</v>
      </c>
      <c r="J269" s="257">
        <v>727</v>
      </c>
      <c r="K269" s="257">
        <v>4654352.4814680032</v>
      </c>
      <c r="L269" s="257">
        <v>1515352.4814680032</v>
      </c>
      <c r="M269" s="257">
        <v>1515352.4814680032</v>
      </c>
      <c r="Q269" s="163"/>
      <c r="R269" s="125"/>
      <c r="S269" s="124"/>
      <c r="T269" s="205"/>
    </row>
    <row r="270" spans="1:20" x14ac:dyDescent="0.2">
      <c r="A270" s="254" t="s">
        <v>638</v>
      </c>
      <c r="B270" s="254" t="s">
        <v>500</v>
      </c>
      <c r="C270" s="254">
        <v>0.1421</v>
      </c>
      <c r="D270" s="254">
        <v>0.19370000000000001</v>
      </c>
      <c r="E270" s="254">
        <v>0.16439999999999999</v>
      </c>
      <c r="F270" s="256">
        <v>264.57</v>
      </c>
      <c r="G270" s="257">
        <v>4928923293.4553137</v>
      </c>
      <c r="H270" s="257">
        <v>1989388438.9835243</v>
      </c>
      <c r="I270" s="257">
        <v>7004</v>
      </c>
      <c r="J270" s="257">
        <v>7124</v>
      </c>
      <c r="K270" s="257">
        <v>17147322.829988047</v>
      </c>
      <c r="L270" s="257">
        <v>3019322.8299880475</v>
      </c>
      <c r="M270" s="257">
        <v>3019322.8299880475</v>
      </c>
      <c r="Q270" s="163"/>
      <c r="R270" s="125"/>
      <c r="S270" s="124"/>
      <c r="T270" s="205"/>
    </row>
    <row r="271" spans="1:20" x14ac:dyDescent="0.2">
      <c r="A271" s="254" t="s">
        <v>629</v>
      </c>
      <c r="B271" s="254" t="s">
        <v>459</v>
      </c>
      <c r="C271" s="254">
        <v>0.1096</v>
      </c>
      <c r="D271" s="254">
        <v>0.1709</v>
      </c>
      <c r="E271" s="254">
        <v>0.1207</v>
      </c>
      <c r="F271" s="256">
        <v>249.3</v>
      </c>
      <c r="G271" s="257">
        <v>7060218978.10219</v>
      </c>
      <c r="H271" s="257">
        <v>1981138545.953361</v>
      </c>
      <c r="I271" s="257">
        <v>7738</v>
      </c>
      <c r="J271" s="257">
        <v>5777</v>
      </c>
      <c r="K271" s="257">
        <v>21218304.934767157</v>
      </c>
      <c r="L271" s="257">
        <v>7703304.9347671568</v>
      </c>
      <c r="M271" s="257">
        <v>7703304.9347671568</v>
      </c>
      <c r="Q271" s="163"/>
      <c r="R271" s="125"/>
      <c r="S271" s="124"/>
      <c r="T271" s="205"/>
    </row>
    <row r="272" spans="1:20" x14ac:dyDescent="0.2">
      <c r="A272" s="254" t="s">
        <v>633</v>
      </c>
      <c r="B272" s="254" t="s">
        <v>387</v>
      </c>
      <c r="C272" s="254">
        <v>0.1154</v>
      </c>
      <c r="D272" s="254">
        <v>0.3508</v>
      </c>
      <c r="E272" s="254">
        <v>0.25130000000000002</v>
      </c>
      <c r="F272" s="256">
        <v>190.69</v>
      </c>
      <c r="G272" s="257">
        <v>50477469670.710571</v>
      </c>
      <c r="H272" s="257">
        <v>30557714665.337978</v>
      </c>
      <c r="I272" s="257">
        <v>58251</v>
      </c>
      <c r="J272" s="257">
        <v>183988</v>
      </c>
      <c r="K272" s="257">
        <v>214816330.57766908</v>
      </c>
      <c r="L272" s="257">
        <v>-27422669.422330916</v>
      </c>
      <c r="M272" s="257">
        <v>0</v>
      </c>
      <c r="Q272" s="163"/>
      <c r="R272" s="125"/>
      <c r="S272" s="124"/>
      <c r="T272" s="205"/>
    </row>
    <row r="273" spans="1:20" x14ac:dyDescent="0.2">
      <c r="A273" s="254" t="s">
        <v>631</v>
      </c>
      <c r="B273" s="254" t="s">
        <v>264</v>
      </c>
      <c r="C273" s="254">
        <v>0.1077</v>
      </c>
      <c r="D273" s="254">
        <v>0.1333</v>
      </c>
      <c r="E273" s="254">
        <v>0.1072</v>
      </c>
      <c r="F273" s="256">
        <v>504.44</v>
      </c>
      <c r="G273" s="257">
        <v>309192200.55710304</v>
      </c>
      <c r="H273" s="257">
        <v>29106029.106029104</v>
      </c>
      <c r="I273" s="257">
        <v>333</v>
      </c>
      <c r="J273" s="257">
        <v>70</v>
      </c>
      <c r="K273" s="257">
        <v>707253.19813063543</v>
      </c>
      <c r="L273" s="257">
        <v>304253.19813063543</v>
      </c>
      <c r="M273" s="257">
        <v>304253.19813063543</v>
      </c>
      <c r="Q273" s="163"/>
      <c r="R273" s="125"/>
      <c r="S273" s="124"/>
      <c r="T273" s="205"/>
    </row>
    <row r="274" spans="1:20" x14ac:dyDescent="0.2">
      <c r="A274" s="254" t="s">
        <v>638</v>
      </c>
      <c r="B274" s="254" t="s">
        <v>460</v>
      </c>
      <c r="C274" s="254">
        <v>0.1139</v>
      </c>
      <c r="D274" s="254">
        <v>0.14990000000000001</v>
      </c>
      <c r="E274" s="254">
        <v>0.12640000000000001</v>
      </c>
      <c r="F274" s="256">
        <v>274.61</v>
      </c>
      <c r="G274" s="257">
        <v>2230026338.8937664</v>
      </c>
      <c r="H274" s="257">
        <v>459645313.06550854</v>
      </c>
      <c r="I274" s="257">
        <v>2540</v>
      </c>
      <c r="J274" s="257">
        <v>1270</v>
      </c>
      <c r="K274" s="257">
        <v>6062435.1576727079</v>
      </c>
      <c r="L274" s="257">
        <v>2252435.1576727079</v>
      </c>
      <c r="M274" s="257">
        <v>2252435.1576727079</v>
      </c>
      <c r="Q274" s="163"/>
      <c r="R274" s="125"/>
      <c r="S274" s="124"/>
      <c r="T274" s="205"/>
    </row>
    <row r="275" spans="1:20" x14ac:dyDescent="0.2">
      <c r="A275" s="254" t="s">
        <v>630</v>
      </c>
      <c r="B275" s="254" t="s">
        <v>334</v>
      </c>
      <c r="C275" s="254">
        <v>0.13730000000000001</v>
      </c>
      <c r="D275" s="254">
        <v>0.222</v>
      </c>
      <c r="E275" s="254">
        <v>0.15570000000000001</v>
      </c>
      <c r="F275" s="256">
        <v>318.81</v>
      </c>
      <c r="G275" s="257">
        <v>4910415149.3080845</v>
      </c>
      <c r="H275" s="257">
        <v>929573735.7691288</v>
      </c>
      <c r="I275" s="257">
        <v>6742</v>
      </c>
      <c r="J275" s="257">
        <v>3511</v>
      </c>
      <c r="K275" s="257">
        <v>13031408.04512921</v>
      </c>
      <c r="L275" s="257">
        <v>2778408.0451292098</v>
      </c>
      <c r="M275" s="257">
        <v>2778408.0451292098</v>
      </c>
      <c r="Q275" s="163"/>
      <c r="R275" s="125"/>
      <c r="S275" s="124"/>
      <c r="T275" s="205"/>
    </row>
    <row r="276" spans="1:20" x14ac:dyDescent="0.2">
      <c r="A276" s="254" t="s">
        <v>631</v>
      </c>
      <c r="B276" s="254" t="s">
        <v>265</v>
      </c>
      <c r="C276" s="254">
        <v>0.1216</v>
      </c>
      <c r="D276" s="254">
        <v>0.19359999999999999</v>
      </c>
      <c r="E276" s="254">
        <v>0.1477</v>
      </c>
      <c r="F276" s="256">
        <v>316.79000000000002</v>
      </c>
      <c r="G276" s="257">
        <v>974506578.94736838</v>
      </c>
      <c r="H276" s="257">
        <v>158804570.75886318</v>
      </c>
      <c r="I276" s="257">
        <v>1185</v>
      </c>
      <c r="J276" s="257">
        <v>542</v>
      </c>
      <c r="K276" s="257">
        <v>2487322.7618953073</v>
      </c>
      <c r="L276" s="257">
        <v>760322.76189530734</v>
      </c>
      <c r="M276" s="257">
        <v>760322.76189530734</v>
      </c>
      <c r="Q276" s="163"/>
      <c r="R276" s="125"/>
      <c r="S276" s="124"/>
      <c r="T276" s="205"/>
    </row>
    <row r="277" spans="1:20" x14ac:dyDescent="0.2">
      <c r="A277" s="254" t="s">
        <v>633</v>
      </c>
      <c r="B277" s="254" t="s">
        <v>388</v>
      </c>
      <c r="C277" s="254">
        <v>0.11899999999999999</v>
      </c>
      <c r="D277" s="254">
        <v>0.26500000000000001</v>
      </c>
      <c r="E277" s="254">
        <v>0.217</v>
      </c>
      <c r="F277" s="256">
        <v>184.58</v>
      </c>
      <c r="G277" s="257">
        <v>5784033613.4453793</v>
      </c>
      <c r="H277" s="257">
        <v>1630082987.5518672</v>
      </c>
      <c r="I277" s="257">
        <v>6883</v>
      </c>
      <c r="J277" s="257">
        <v>7857</v>
      </c>
      <c r="K277" s="257">
        <v>17410084.207957044</v>
      </c>
      <c r="L277" s="257">
        <v>2670084.2079570442</v>
      </c>
      <c r="M277" s="257">
        <v>2670084.2079570442</v>
      </c>
      <c r="Q277" s="163"/>
      <c r="R277" s="125"/>
      <c r="S277" s="124"/>
      <c r="T277" s="205"/>
    </row>
    <row r="278" spans="1:20" x14ac:dyDescent="0.2">
      <c r="A278" s="254" t="s">
        <v>632</v>
      </c>
      <c r="B278" s="254" t="s">
        <v>193</v>
      </c>
      <c r="C278" s="254">
        <v>0.1069</v>
      </c>
      <c r="D278" s="254">
        <v>0.2064</v>
      </c>
      <c r="E278" s="254">
        <v>0.1661</v>
      </c>
      <c r="F278" s="256">
        <v>260.95</v>
      </c>
      <c r="G278" s="257">
        <v>311506080.44901782</v>
      </c>
      <c r="H278" s="257">
        <v>50201342.281879194</v>
      </c>
      <c r="I278" s="257">
        <v>333</v>
      </c>
      <c r="J278" s="257">
        <v>187</v>
      </c>
      <c r="K278" s="257">
        <v>792924.37264959421</v>
      </c>
      <c r="L278" s="257">
        <v>272924.37264959421</v>
      </c>
      <c r="M278" s="257">
        <v>272924.37264959421</v>
      </c>
      <c r="Q278" s="163"/>
      <c r="R278" s="125"/>
      <c r="S278" s="124"/>
      <c r="T278" s="205"/>
    </row>
    <row r="279" spans="1:20" x14ac:dyDescent="0.2">
      <c r="A279" s="254" t="s">
        <v>638</v>
      </c>
      <c r="B279" s="254" t="s">
        <v>501</v>
      </c>
      <c r="C279" s="254">
        <v>0.1545</v>
      </c>
      <c r="D279" s="254">
        <v>0.24890000000000001</v>
      </c>
      <c r="E279" s="254">
        <v>0.28120000000000001</v>
      </c>
      <c r="F279" s="256">
        <v>312.63</v>
      </c>
      <c r="G279" s="257">
        <v>1158576051.7799354</v>
      </c>
      <c r="H279" s="257">
        <v>120166006.41388416</v>
      </c>
      <c r="I279" s="257">
        <v>1790</v>
      </c>
      <c r="J279" s="257">
        <v>637</v>
      </c>
      <c r="K279" s="257">
        <v>2692898.0243698298</v>
      </c>
      <c r="L279" s="257">
        <v>265898.0243698298</v>
      </c>
      <c r="M279" s="257">
        <v>265898.0243698298</v>
      </c>
      <c r="Q279" s="163"/>
      <c r="R279" s="125"/>
      <c r="S279" s="124"/>
      <c r="T279" s="205"/>
    </row>
    <row r="280" spans="1:20" x14ac:dyDescent="0.2">
      <c r="A280" s="254" t="s">
        <v>640</v>
      </c>
      <c r="B280" s="254" t="s">
        <v>410</v>
      </c>
      <c r="C280" s="254">
        <v>0.13969999999999999</v>
      </c>
      <c r="D280" s="254">
        <v>0.15090000000000001</v>
      </c>
      <c r="E280" s="254">
        <v>0.1012</v>
      </c>
      <c r="F280" s="256">
        <v>332.39</v>
      </c>
      <c r="G280" s="257">
        <v>4491052254.8317833</v>
      </c>
      <c r="H280" s="257">
        <v>926616422.05474031</v>
      </c>
      <c r="I280" s="257">
        <v>6274</v>
      </c>
      <c r="J280" s="257">
        <v>2336</v>
      </c>
      <c r="K280" s="257">
        <v>12212748.815461934</v>
      </c>
      <c r="L280" s="257">
        <v>3602748.8154619336</v>
      </c>
      <c r="M280" s="257">
        <v>3602748.8154619336</v>
      </c>
      <c r="Q280" s="163"/>
      <c r="R280" s="125"/>
      <c r="S280" s="124"/>
      <c r="T280" s="205"/>
    </row>
    <row r="281" spans="1:20" x14ac:dyDescent="0.2">
      <c r="A281" s="254" t="s">
        <v>633</v>
      </c>
      <c r="B281" s="254" t="s">
        <v>528</v>
      </c>
      <c r="C281" s="254">
        <v>5.9700000000000003E-2</v>
      </c>
      <c r="D281" s="254">
        <v>0.23499999999999999</v>
      </c>
      <c r="E281" s="254">
        <v>0.1983</v>
      </c>
      <c r="F281" s="256">
        <v>127.02</v>
      </c>
      <c r="G281" s="257">
        <v>53405360134.003349</v>
      </c>
      <c r="H281" s="257">
        <v>12475882760.212324</v>
      </c>
      <c r="I281" s="257">
        <v>31883</v>
      </c>
      <c r="J281" s="257">
        <v>54058</v>
      </c>
      <c r="K281" s="257">
        <v>150837466.88477391</v>
      </c>
      <c r="L281" s="257">
        <v>64896466.88477391</v>
      </c>
      <c r="M281" s="257">
        <v>64896466.88477391</v>
      </c>
      <c r="Q281" s="163"/>
      <c r="R281" s="125"/>
      <c r="S281" s="124"/>
      <c r="T281" s="205"/>
    </row>
    <row r="282" spans="1:20" x14ac:dyDescent="0.2">
      <c r="A282" s="254" t="s">
        <v>629</v>
      </c>
      <c r="B282" s="254" t="s">
        <v>569</v>
      </c>
      <c r="C282" s="254">
        <v>9.0200000000000002E-2</v>
      </c>
      <c r="D282" s="254">
        <v>0.2954</v>
      </c>
      <c r="E282" s="254">
        <v>0.2366</v>
      </c>
      <c r="F282" s="256">
        <v>234</v>
      </c>
      <c r="G282" s="257">
        <v>18166297117.516628</v>
      </c>
      <c r="H282" s="257">
        <v>4491353383.4586468</v>
      </c>
      <c r="I282" s="257">
        <v>16386</v>
      </c>
      <c r="J282" s="257">
        <v>23894</v>
      </c>
      <c r="K282" s="257">
        <v>52261832.477535307</v>
      </c>
      <c r="L282" s="257">
        <v>11981832.477535307</v>
      </c>
      <c r="M282" s="257">
        <v>11981832.477535307</v>
      </c>
      <c r="Q282" s="163"/>
      <c r="R282" s="125"/>
      <c r="S282" s="124"/>
      <c r="T282" s="205"/>
    </row>
    <row r="283" spans="1:20" x14ac:dyDescent="0.2">
      <c r="A283" s="254" t="s">
        <v>638</v>
      </c>
      <c r="B283" s="254" t="s">
        <v>502</v>
      </c>
      <c r="C283" s="254">
        <v>0.2046</v>
      </c>
      <c r="D283" s="254">
        <v>0.2046</v>
      </c>
      <c r="E283" s="254">
        <v>0.2046</v>
      </c>
      <c r="F283" s="256">
        <v>350.16</v>
      </c>
      <c r="G283" s="257">
        <v>849951124.14467251</v>
      </c>
      <c r="H283" s="257">
        <v>105327468.23069404</v>
      </c>
      <c r="I283" s="257">
        <v>1739</v>
      </c>
      <c r="J283" s="257">
        <v>431</v>
      </c>
      <c r="K283" s="257">
        <v>2041666.6666666667</v>
      </c>
      <c r="L283" s="257">
        <v>-128333.33333333326</v>
      </c>
      <c r="M283" s="257">
        <v>0</v>
      </c>
      <c r="Q283" s="163"/>
      <c r="R283" s="125"/>
      <c r="S283" s="124"/>
      <c r="T283" s="205"/>
    </row>
    <row r="284" spans="1:20" x14ac:dyDescent="0.2">
      <c r="A284" s="254" t="s">
        <v>629</v>
      </c>
      <c r="B284" s="254" t="s">
        <v>524</v>
      </c>
      <c r="C284" s="254">
        <v>0.12506999999999999</v>
      </c>
      <c r="D284" s="254">
        <v>0.28233999999999998</v>
      </c>
      <c r="E284" s="254">
        <v>0.24287</v>
      </c>
      <c r="F284" s="256">
        <v>328.11</v>
      </c>
      <c r="G284" s="257">
        <v>1133765091.548733</v>
      </c>
      <c r="H284" s="257">
        <v>266750442.68007088</v>
      </c>
      <c r="I284" s="257">
        <v>1418</v>
      </c>
      <c r="J284" s="257">
        <v>1401</v>
      </c>
      <c r="K284" s="257">
        <v>3209487.005549584</v>
      </c>
      <c r="L284" s="257">
        <v>390487.00554958405</v>
      </c>
      <c r="M284" s="257">
        <v>390487.00554958405</v>
      </c>
      <c r="Q284" s="163"/>
      <c r="R284" s="125"/>
      <c r="S284" s="124"/>
      <c r="T284" s="205"/>
    </row>
    <row r="285" spans="1:20" x14ac:dyDescent="0.2">
      <c r="A285" s="254" t="s">
        <v>629</v>
      </c>
      <c r="B285" s="254" t="s">
        <v>462</v>
      </c>
      <c r="C285" s="254">
        <v>0.13950000000000001</v>
      </c>
      <c r="D285" s="254">
        <v>0.23699999999999999</v>
      </c>
      <c r="E285" s="254">
        <v>0.1547</v>
      </c>
      <c r="F285" s="256">
        <v>417.72</v>
      </c>
      <c r="G285" s="257">
        <v>3477419354.8387094</v>
      </c>
      <c r="H285" s="257">
        <v>304825121.26627517</v>
      </c>
      <c r="I285" s="257">
        <v>4851</v>
      </c>
      <c r="J285" s="257">
        <v>1194</v>
      </c>
      <c r="K285" s="257">
        <v>7867608.9749396751</v>
      </c>
      <c r="L285" s="257">
        <v>1822608.9749396751</v>
      </c>
      <c r="M285" s="257">
        <v>1822608.9749396751</v>
      </c>
      <c r="Q285" s="163"/>
      <c r="R285" s="125"/>
      <c r="S285" s="124"/>
      <c r="T285" s="205"/>
    </row>
    <row r="286" spans="1:20" x14ac:dyDescent="0.2">
      <c r="A286" s="254" t="s">
        <v>638</v>
      </c>
      <c r="B286" s="254" t="s">
        <v>503</v>
      </c>
      <c r="C286" s="254">
        <v>0.18729999999999999</v>
      </c>
      <c r="D286" s="254">
        <v>0.50980000000000003</v>
      </c>
      <c r="E286" s="254">
        <v>0.39019999999999999</v>
      </c>
      <c r="F286" s="256">
        <v>310.31</v>
      </c>
      <c r="G286" s="257">
        <v>7451147891.0838232</v>
      </c>
      <c r="H286" s="257">
        <v>3371111111.1111107</v>
      </c>
      <c r="I286" s="257">
        <v>13956</v>
      </c>
      <c r="J286" s="257">
        <v>30340</v>
      </c>
      <c r="K286" s="257">
        <v>27322237.468114138</v>
      </c>
      <c r="L286" s="257">
        <v>-16973762.531885862</v>
      </c>
      <c r="M286" s="257">
        <v>0</v>
      </c>
      <c r="Q286" s="163"/>
      <c r="R286" s="125"/>
      <c r="S286" s="124"/>
      <c r="T286" s="205"/>
    </row>
    <row r="287" spans="1:20" x14ac:dyDescent="0.2">
      <c r="A287" s="254" t="s">
        <v>633</v>
      </c>
      <c r="B287" s="254" t="s">
        <v>389</v>
      </c>
      <c r="C287" s="254">
        <v>9.7900000000000001E-2</v>
      </c>
      <c r="D287" s="254">
        <v>0.16470000000000001</v>
      </c>
      <c r="E287" s="254">
        <v>0.1186</v>
      </c>
      <c r="F287" s="256">
        <v>182.8</v>
      </c>
      <c r="G287" s="257">
        <v>2017364657.814096</v>
      </c>
      <c r="H287" s="257">
        <v>647370278.856336</v>
      </c>
      <c r="I287" s="257">
        <v>1975</v>
      </c>
      <c r="J287" s="257">
        <v>1834</v>
      </c>
      <c r="K287" s="257">
        <v>6375802.5398890283</v>
      </c>
      <c r="L287" s="257">
        <v>2566802.5398890283</v>
      </c>
      <c r="M287" s="257">
        <v>2566802.5398890283</v>
      </c>
      <c r="Q287" s="163"/>
      <c r="R287" s="125"/>
      <c r="S287" s="124"/>
      <c r="T287" s="205"/>
    </row>
    <row r="288" spans="1:20" x14ac:dyDescent="0.2">
      <c r="A288" s="254" t="s">
        <v>640</v>
      </c>
      <c r="B288" s="254" t="s">
        <v>411</v>
      </c>
      <c r="C288" s="254">
        <v>0.1123</v>
      </c>
      <c r="D288" s="254">
        <v>0.20369999999999999</v>
      </c>
      <c r="E288" s="254">
        <v>0.1661</v>
      </c>
      <c r="F288" s="256">
        <v>220.1</v>
      </c>
      <c r="G288" s="257">
        <v>3273374888.6910067</v>
      </c>
      <c r="H288" s="257">
        <v>628447809.62682521</v>
      </c>
      <c r="I288" s="257">
        <v>3676</v>
      </c>
      <c r="J288" s="257">
        <v>2324</v>
      </c>
      <c r="K288" s="257">
        <v>8720770.7277934644</v>
      </c>
      <c r="L288" s="257">
        <v>2720770.7277934644</v>
      </c>
      <c r="M288" s="257">
        <v>2720770.7277934644</v>
      </c>
      <c r="Q288" s="163"/>
      <c r="R288" s="125"/>
      <c r="S288" s="124"/>
      <c r="T288" s="205"/>
    </row>
    <row r="289" spans="1:20" x14ac:dyDescent="0.2">
      <c r="A289" s="254" t="s">
        <v>632</v>
      </c>
      <c r="B289" s="254" t="s">
        <v>194</v>
      </c>
      <c r="C289" s="254">
        <v>0.14599999999999999</v>
      </c>
      <c r="D289" s="254">
        <v>0.33579999999999999</v>
      </c>
      <c r="E289" s="254">
        <v>0.26860000000000001</v>
      </c>
      <c r="F289" s="256">
        <v>248.21</v>
      </c>
      <c r="G289" s="257">
        <v>4234931506.8493152</v>
      </c>
      <c r="H289" s="257">
        <v>1088517538.0542686</v>
      </c>
      <c r="I289" s="257">
        <v>6183</v>
      </c>
      <c r="J289" s="257">
        <v>6579</v>
      </c>
      <c r="K289" s="257">
        <v>12343035.672193866</v>
      </c>
      <c r="L289" s="257">
        <v>-418964.32780613378</v>
      </c>
      <c r="M289" s="257">
        <v>0</v>
      </c>
      <c r="Q289" s="163"/>
      <c r="R289" s="125"/>
      <c r="S289" s="124"/>
      <c r="T289" s="205"/>
    </row>
    <row r="290" spans="1:20" x14ac:dyDescent="0.2">
      <c r="A290" s="254" t="s">
        <v>636</v>
      </c>
      <c r="B290" s="254" t="s">
        <v>291</v>
      </c>
      <c r="C290" s="254">
        <v>8.5999999999999993E-2</v>
      </c>
      <c r="D290" s="254">
        <v>0.1973</v>
      </c>
      <c r="E290" s="254">
        <v>0.1583</v>
      </c>
      <c r="F290" s="256">
        <v>248.87</v>
      </c>
      <c r="G290" s="257">
        <v>5904651162.7906981</v>
      </c>
      <c r="H290" s="257">
        <v>929133858.26771653</v>
      </c>
      <c r="I290" s="257">
        <v>5078</v>
      </c>
      <c r="J290" s="257">
        <v>3304</v>
      </c>
      <c r="K290" s="257">
        <v>14943618.842702804</v>
      </c>
      <c r="L290" s="257">
        <v>6561618.8427028041</v>
      </c>
      <c r="M290" s="257">
        <v>6561618.8427028041</v>
      </c>
      <c r="Q290" s="163"/>
      <c r="R290" s="125"/>
      <c r="S290" s="124"/>
      <c r="T290" s="205"/>
    </row>
    <row r="291" spans="1:20" x14ac:dyDescent="0.2">
      <c r="A291" s="254" t="s">
        <v>629</v>
      </c>
      <c r="B291" s="254" t="s">
        <v>464</v>
      </c>
      <c r="C291" s="254">
        <v>0.1236</v>
      </c>
      <c r="D291" s="254">
        <v>0.1943</v>
      </c>
      <c r="E291" s="254">
        <v>0.15379999999999999</v>
      </c>
      <c r="F291" s="256">
        <v>326.54000000000002</v>
      </c>
      <c r="G291" s="257">
        <v>1991909385.1132684</v>
      </c>
      <c r="H291" s="257">
        <v>444699798.90835971</v>
      </c>
      <c r="I291" s="257">
        <v>2462</v>
      </c>
      <c r="J291" s="257">
        <v>1548</v>
      </c>
      <c r="K291" s="257">
        <v>5546519.7921402268</v>
      </c>
      <c r="L291" s="257">
        <v>1536519.7921402268</v>
      </c>
      <c r="M291" s="257">
        <v>1536519.7921402268</v>
      </c>
      <c r="Q291" s="163"/>
      <c r="R291" s="125"/>
      <c r="S291" s="124"/>
      <c r="T291" s="205"/>
    </row>
    <row r="292" spans="1:20" x14ac:dyDescent="0.2">
      <c r="A292" s="254" t="s">
        <v>629</v>
      </c>
      <c r="B292" s="254" t="s">
        <v>465</v>
      </c>
      <c r="C292" s="254">
        <v>8.9700000000000002E-2</v>
      </c>
      <c r="D292" s="254">
        <v>0.1454</v>
      </c>
      <c r="E292" s="254">
        <v>0.13</v>
      </c>
      <c r="F292" s="256">
        <v>268.64</v>
      </c>
      <c r="G292" s="257">
        <v>2149386845.0390191</v>
      </c>
      <c r="H292" s="257">
        <v>668845315.9041394</v>
      </c>
      <c r="I292" s="257">
        <v>1928</v>
      </c>
      <c r="J292" s="257">
        <v>1842</v>
      </c>
      <c r="K292" s="257">
        <v>6712624.1429310488</v>
      </c>
      <c r="L292" s="257">
        <v>2942624.1429310488</v>
      </c>
      <c r="M292" s="257">
        <v>2942624.1429310488</v>
      </c>
      <c r="Q292" s="163"/>
      <c r="R292" s="125"/>
      <c r="S292" s="124"/>
      <c r="T292" s="205"/>
    </row>
    <row r="293" spans="1:20" x14ac:dyDescent="0.2">
      <c r="A293" s="254" t="s">
        <v>637</v>
      </c>
      <c r="B293" s="254" t="s">
        <v>173</v>
      </c>
      <c r="C293" s="254">
        <v>0.17979999999999999</v>
      </c>
      <c r="D293" s="254">
        <v>0.36</v>
      </c>
      <c r="E293" s="254">
        <v>0.30130000000000001</v>
      </c>
      <c r="F293" s="256">
        <v>266.11</v>
      </c>
      <c r="G293" s="257">
        <v>2144605116.7964406</v>
      </c>
      <c r="H293" s="257">
        <v>432783910.47935885</v>
      </c>
      <c r="I293" s="257">
        <v>3856</v>
      </c>
      <c r="J293" s="257">
        <v>2862</v>
      </c>
      <c r="K293" s="257">
        <v>5794582.9051786792</v>
      </c>
      <c r="L293" s="257">
        <v>-923417.09482132085</v>
      </c>
      <c r="M293" s="257">
        <v>0</v>
      </c>
      <c r="Q293" s="163"/>
      <c r="R293" s="125"/>
      <c r="S293" s="124"/>
      <c r="T293" s="205"/>
    </row>
    <row r="294" spans="1:20" x14ac:dyDescent="0.2">
      <c r="A294" s="254" t="s">
        <v>634</v>
      </c>
      <c r="B294" s="254" t="s">
        <v>216</v>
      </c>
      <c r="C294" s="254">
        <v>0.1023</v>
      </c>
      <c r="D294" s="254">
        <v>0.17449999999999999</v>
      </c>
      <c r="E294" s="254">
        <v>0.14019999999999999</v>
      </c>
      <c r="F294" s="256">
        <v>255.9</v>
      </c>
      <c r="G294" s="257">
        <v>1425219941.3489735</v>
      </c>
      <c r="H294" s="257">
        <v>452176676.19955516</v>
      </c>
      <c r="I294" s="257">
        <v>1458</v>
      </c>
      <c r="J294" s="257">
        <v>1423</v>
      </c>
      <c r="K294" s="257">
        <v>4484428.5904650614</v>
      </c>
      <c r="L294" s="257">
        <v>1603428.5904650614</v>
      </c>
      <c r="M294" s="257">
        <v>1603428.5904650614</v>
      </c>
      <c r="Q294" s="163"/>
      <c r="R294" s="125"/>
      <c r="S294" s="124"/>
      <c r="T294" s="205"/>
    </row>
    <row r="295" spans="1:20" x14ac:dyDescent="0.2">
      <c r="A295" s="254" t="s">
        <v>630</v>
      </c>
      <c r="B295" s="254" t="s">
        <v>335</v>
      </c>
      <c r="C295" s="254">
        <v>0.1285</v>
      </c>
      <c r="D295" s="254">
        <v>0.13639999999999999</v>
      </c>
      <c r="E295" s="254">
        <v>0.1115</v>
      </c>
      <c r="F295" s="256">
        <v>254.27</v>
      </c>
      <c r="G295" s="257">
        <v>1767315175.0972762</v>
      </c>
      <c r="H295" s="257">
        <v>267849939.49173051</v>
      </c>
      <c r="I295" s="257">
        <v>2271</v>
      </c>
      <c r="J295" s="257">
        <v>664</v>
      </c>
      <c r="K295" s="257">
        <v>4433303.9791054195</v>
      </c>
      <c r="L295" s="257">
        <v>1498303.9791054195</v>
      </c>
      <c r="M295" s="257">
        <v>1498303.9791054195</v>
      </c>
      <c r="Q295" s="163"/>
      <c r="R295" s="125"/>
      <c r="S295" s="124"/>
      <c r="T295" s="205"/>
    </row>
    <row r="296" spans="1:20" x14ac:dyDescent="0.2">
      <c r="A296" s="254" t="s">
        <v>629</v>
      </c>
      <c r="B296" s="254" t="s">
        <v>466</v>
      </c>
      <c r="C296" s="254">
        <v>0.128</v>
      </c>
      <c r="D296" s="254">
        <v>0.1898</v>
      </c>
      <c r="E296" s="254">
        <v>0.15329999999999999</v>
      </c>
      <c r="F296" s="256">
        <v>267.08999999999997</v>
      </c>
      <c r="G296" s="257">
        <v>2127343749.9999998</v>
      </c>
      <c r="H296" s="257">
        <v>483823958.02972901</v>
      </c>
      <c r="I296" s="257">
        <v>2723</v>
      </c>
      <c r="J296" s="257">
        <v>1660</v>
      </c>
      <c r="K296" s="257">
        <v>5957858.9571644561</v>
      </c>
      <c r="L296" s="257">
        <v>1574858.9571644561</v>
      </c>
      <c r="M296" s="257">
        <v>1574858.9571644561</v>
      </c>
      <c r="Q296" s="163"/>
      <c r="R296" s="125"/>
      <c r="S296" s="124"/>
      <c r="T296" s="205"/>
    </row>
    <row r="297" spans="1:20" x14ac:dyDescent="0.2">
      <c r="A297" s="254" t="s">
        <v>634</v>
      </c>
      <c r="B297" s="254" t="s">
        <v>217</v>
      </c>
      <c r="C297" s="254">
        <v>0.1065</v>
      </c>
      <c r="D297" s="254">
        <v>0.18609999999999999</v>
      </c>
      <c r="E297" s="254">
        <v>0.15040000000000001</v>
      </c>
      <c r="F297" s="256">
        <v>214.4</v>
      </c>
      <c r="G297" s="257">
        <v>3936150234.7417841</v>
      </c>
      <c r="H297" s="257">
        <v>936998514.11589885</v>
      </c>
      <c r="I297" s="257">
        <v>4192</v>
      </c>
      <c r="J297" s="257">
        <v>3153</v>
      </c>
      <c r="K297" s="257">
        <v>11184533.481224146</v>
      </c>
      <c r="L297" s="257">
        <v>3839533.4812241457</v>
      </c>
      <c r="M297" s="257">
        <v>3839533.4812241457</v>
      </c>
      <c r="Q297" s="163"/>
      <c r="R297" s="125"/>
      <c r="S297" s="124"/>
      <c r="T297" s="205"/>
    </row>
    <row r="298" spans="1:20" x14ac:dyDescent="0.2">
      <c r="A298" s="254" t="s">
        <v>638</v>
      </c>
      <c r="B298" s="254" t="s">
        <v>504</v>
      </c>
      <c r="C298" s="254">
        <v>0.16420000000000001</v>
      </c>
      <c r="D298" s="254">
        <v>0.3201</v>
      </c>
      <c r="E298" s="254">
        <v>0.26929999999999998</v>
      </c>
      <c r="F298" s="256">
        <v>319.64999999999998</v>
      </c>
      <c r="G298" s="257">
        <v>2217417783.1912298</v>
      </c>
      <c r="H298" s="257">
        <v>346114692.90804213</v>
      </c>
      <c r="I298" s="257">
        <v>3641</v>
      </c>
      <c r="J298" s="257">
        <v>2040</v>
      </c>
      <c r="K298" s="257">
        <v>5601070.8003390795</v>
      </c>
      <c r="L298" s="257">
        <v>-79929.199660920538</v>
      </c>
      <c r="M298" s="257">
        <v>0</v>
      </c>
      <c r="Q298" s="163"/>
      <c r="R298" s="125"/>
      <c r="S298" s="124"/>
      <c r="T298" s="205"/>
    </row>
    <row r="299" spans="1:20" x14ac:dyDescent="0.2">
      <c r="A299" s="254" t="s">
        <v>636</v>
      </c>
      <c r="B299" s="254" t="s">
        <v>292</v>
      </c>
      <c r="C299" s="254">
        <v>0.11816</v>
      </c>
      <c r="D299" s="254">
        <v>0.20788999999999999</v>
      </c>
      <c r="E299" s="254">
        <v>0.17096</v>
      </c>
      <c r="F299" s="256">
        <v>347.11</v>
      </c>
      <c r="G299" s="257">
        <v>8118652674.3398771</v>
      </c>
      <c r="H299" s="257">
        <v>1071928203.774581</v>
      </c>
      <c r="I299" s="257">
        <v>9593</v>
      </c>
      <c r="J299" s="257">
        <v>4061</v>
      </c>
      <c r="K299" s="257">
        <v>19755329.9826364</v>
      </c>
      <c r="L299" s="257">
        <v>6101329.9826363996</v>
      </c>
      <c r="M299" s="257">
        <v>6101329.9826363996</v>
      </c>
      <c r="Q299" s="163"/>
      <c r="R299" s="125"/>
      <c r="S299" s="124"/>
      <c r="T299" s="205"/>
    </row>
    <row r="300" spans="1:20" x14ac:dyDescent="0.2">
      <c r="A300" s="254" t="s">
        <v>633</v>
      </c>
      <c r="B300" s="254" t="s">
        <v>390</v>
      </c>
      <c r="C300" s="254">
        <v>9.9299999999999999E-2</v>
      </c>
      <c r="D300" s="254">
        <v>0.20480000000000001</v>
      </c>
      <c r="E300" s="254">
        <v>0.16869999999999999</v>
      </c>
      <c r="F300" s="256">
        <v>219.26</v>
      </c>
      <c r="G300" s="257">
        <v>870090634.4410876</v>
      </c>
      <c r="H300" s="257">
        <v>167336010.70950469</v>
      </c>
      <c r="I300" s="257">
        <v>864</v>
      </c>
      <c r="J300" s="257">
        <v>625</v>
      </c>
      <c r="K300" s="257">
        <v>2319168.1125306869</v>
      </c>
      <c r="L300" s="257">
        <v>830168.11253068689</v>
      </c>
      <c r="M300" s="257">
        <v>830168.11253068689</v>
      </c>
      <c r="Q300" s="163"/>
      <c r="R300" s="125"/>
      <c r="S300" s="124"/>
      <c r="T300" s="205"/>
    </row>
    <row r="301" spans="1:20" x14ac:dyDescent="0.2">
      <c r="A301" s="254" t="s">
        <v>632</v>
      </c>
      <c r="B301" s="254" t="s">
        <v>525</v>
      </c>
      <c r="C301" s="254">
        <v>0.14630000000000001</v>
      </c>
      <c r="D301" s="254">
        <v>0.2949</v>
      </c>
      <c r="E301" s="254">
        <v>0.2366</v>
      </c>
      <c r="F301" s="256">
        <v>277.94</v>
      </c>
      <c r="G301" s="257">
        <v>7539986329.4600134</v>
      </c>
      <c r="H301" s="257">
        <v>1579680150.5174038</v>
      </c>
      <c r="I301" s="257">
        <v>11031</v>
      </c>
      <c r="J301" s="257">
        <v>8396</v>
      </c>
      <c r="K301" s="257">
        <v>20596242.26370253</v>
      </c>
      <c r="L301" s="257">
        <v>1169242.2637025304</v>
      </c>
      <c r="M301" s="257">
        <v>1169242.2637025304</v>
      </c>
      <c r="Q301" s="163"/>
      <c r="R301" s="125"/>
      <c r="S301" s="124"/>
      <c r="T301" s="205"/>
    </row>
    <row r="302" spans="1:20" x14ac:dyDescent="0.2">
      <c r="A302" s="254" t="s">
        <v>637</v>
      </c>
      <c r="B302" s="254" t="s">
        <v>174</v>
      </c>
      <c r="C302" s="254">
        <v>0.18340000000000001</v>
      </c>
      <c r="D302" s="254">
        <v>0.35899999999999999</v>
      </c>
      <c r="E302" s="254">
        <v>0.26950000000000002</v>
      </c>
      <c r="F302" s="256">
        <v>321.72000000000003</v>
      </c>
      <c r="G302" s="257">
        <v>505997818.97491819</v>
      </c>
      <c r="H302" s="257">
        <v>125536992.84009545</v>
      </c>
      <c r="I302" s="257">
        <v>928</v>
      </c>
      <c r="J302" s="257">
        <v>789</v>
      </c>
      <c r="K302" s="257">
        <v>1457363.2239610851</v>
      </c>
      <c r="L302" s="257">
        <v>-259636.77603891492</v>
      </c>
      <c r="M302" s="257">
        <v>0</v>
      </c>
      <c r="Q302" s="163"/>
      <c r="R302" s="125"/>
      <c r="S302" s="124"/>
      <c r="T302" s="205"/>
    </row>
    <row r="303" spans="1:20" x14ac:dyDescent="0.2">
      <c r="A303" s="254" t="s">
        <v>640</v>
      </c>
      <c r="B303" s="254" t="s">
        <v>412</v>
      </c>
      <c r="C303" s="254">
        <v>0.1573</v>
      </c>
      <c r="D303" s="254">
        <v>0.29499999999999998</v>
      </c>
      <c r="E303" s="254">
        <v>0.23680000000000001</v>
      </c>
      <c r="F303" s="256">
        <v>259.33</v>
      </c>
      <c r="G303" s="257">
        <v>4284170375.0794659</v>
      </c>
      <c r="H303" s="257">
        <v>1990974050.3948851</v>
      </c>
      <c r="I303" s="257">
        <v>6739</v>
      </c>
      <c r="J303" s="257">
        <v>10588</v>
      </c>
      <c r="K303" s="257">
        <v>15912278.066048279</v>
      </c>
      <c r="L303" s="257">
        <v>-1414721.9339517206</v>
      </c>
      <c r="M303" s="257">
        <v>0</v>
      </c>
      <c r="Q303" s="163"/>
      <c r="R303" s="125"/>
      <c r="S303" s="124"/>
      <c r="T303" s="205"/>
    </row>
    <row r="304" spans="1:20" x14ac:dyDescent="0.2">
      <c r="A304" s="254" t="s">
        <v>632</v>
      </c>
      <c r="B304" s="254" t="s">
        <v>195</v>
      </c>
      <c r="C304" s="254">
        <v>9.9000000000000005E-2</v>
      </c>
      <c r="D304" s="254">
        <v>0.23</v>
      </c>
      <c r="E304" s="254">
        <v>0.17499999999999999</v>
      </c>
      <c r="F304" s="256">
        <v>305.61</v>
      </c>
      <c r="G304" s="257">
        <v>937373737.37373734</v>
      </c>
      <c r="H304" s="257">
        <v>216296296.29629627</v>
      </c>
      <c r="I304" s="257">
        <v>928</v>
      </c>
      <c r="J304" s="257">
        <v>876</v>
      </c>
      <c r="K304" s="257">
        <v>2637185.1851851852</v>
      </c>
      <c r="L304" s="257">
        <v>833185.18518518517</v>
      </c>
      <c r="M304" s="257">
        <v>833185.18518518517</v>
      </c>
      <c r="Q304" s="163"/>
      <c r="R304" s="125"/>
      <c r="S304" s="124"/>
      <c r="T304" s="205"/>
    </row>
    <row r="305" spans="1:20" x14ac:dyDescent="0.2">
      <c r="A305" s="254" t="s">
        <v>630</v>
      </c>
      <c r="B305" s="254" t="s">
        <v>336</v>
      </c>
      <c r="C305" s="254">
        <v>4.3799999999999999E-2</v>
      </c>
      <c r="D305" s="254">
        <v>7.0599999999999996E-2</v>
      </c>
      <c r="E305" s="254">
        <v>5.6000000000000001E-2</v>
      </c>
      <c r="F305" s="256">
        <v>123.36</v>
      </c>
      <c r="G305" s="257">
        <v>2378995433.7899547</v>
      </c>
      <c r="H305" s="257">
        <v>672195892.57503951</v>
      </c>
      <c r="I305" s="257">
        <v>1042</v>
      </c>
      <c r="J305" s="257">
        <v>851</v>
      </c>
      <c r="K305" s="257">
        <v>7167520.3964595646</v>
      </c>
      <c r="L305" s="257">
        <v>5274520.3964595646</v>
      </c>
      <c r="M305" s="257">
        <v>5274520.3964595646</v>
      </c>
      <c r="Q305" s="163"/>
      <c r="R305" s="125"/>
      <c r="S305" s="124"/>
      <c r="T305" s="205"/>
    </row>
    <row r="306" spans="1:20" x14ac:dyDescent="0.2">
      <c r="A306" s="254" t="s">
        <v>633</v>
      </c>
      <c r="B306" s="254" t="s">
        <v>391</v>
      </c>
      <c r="C306" s="254">
        <v>7.5700000000000003E-2</v>
      </c>
      <c r="D306" s="254">
        <v>0.1394</v>
      </c>
      <c r="E306" s="254">
        <v>0.11940000000000001</v>
      </c>
      <c r="F306" s="256">
        <v>226.53</v>
      </c>
      <c r="G306" s="257">
        <v>4618229854.6895638</v>
      </c>
      <c r="H306" s="257">
        <v>770865533.23029351</v>
      </c>
      <c r="I306" s="257">
        <v>3496</v>
      </c>
      <c r="J306" s="257">
        <v>1995</v>
      </c>
      <c r="K306" s="257">
        <v>11857924.77321404</v>
      </c>
      <c r="L306" s="257">
        <v>6366924.7732140403</v>
      </c>
      <c r="M306" s="257">
        <v>6366924.7732140403</v>
      </c>
      <c r="Q306" s="163"/>
      <c r="R306" s="125"/>
      <c r="S306" s="124"/>
      <c r="T306" s="205"/>
    </row>
    <row r="307" spans="1:20" x14ac:dyDescent="0.2">
      <c r="A307" s="254" t="s">
        <v>640</v>
      </c>
      <c r="B307" s="254" t="s">
        <v>413</v>
      </c>
      <c r="C307" s="254">
        <v>0.1193</v>
      </c>
      <c r="D307" s="254">
        <v>0.2336</v>
      </c>
      <c r="E307" s="254">
        <v>0.18890000000000001</v>
      </c>
      <c r="F307" s="256">
        <v>224.46</v>
      </c>
      <c r="G307" s="257">
        <v>1994970662.1961441</v>
      </c>
      <c r="H307" s="257">
        <v>502485207.10059178</v>
      </c>
      <c r="I307" s="257">
        <v>2380</v>
      </c>
      <c r="J307" s="257">
        <v>2123</v>
      </c>
      <c r="K307" s="257">
        <v>5774886.5720648561</v>
      </c>
      <c r="L307" s="257">
        <v>1271886.5720648561</v>
      </c>
      <c r="M307" s="257">
        <v>1271886.5720648561</v>
      </c>
      <c r="Q307" s="163"/>
      <c r="R307" s="125"/>
      <c r="S307" s="124"/>
      <c r="T307" s="205"/>
    </row>
    <row r="308" spans="1:20" x14ac:dyDescent="0.2">
      <c r="A308" s="254" t="s">
        <v>631</v>
      </c>
      <c r="B308" s="254" t="s">
        <v>266</v>
      </c>
      <c r="C308" s="254">
        <v>0.1255</v>
      </c>
      <c r="D308" s="254">
        <v>0.2581</v>
      </c>
      <c r="E308" s="254">
        <v>0.19450000000000001</v>
      </c>
      <c r="F308" s="256">
        <v>248.27</v>
      </c>
      <c r="G308" s="257">
        <v>3521912350.5976095</v>
      </c>
      <c r="H308" s="257">
        <v>924215642.95183396</v>
      </c>
      <c r="I308" s="257">
        <v>4420</v>
      </c>
      <c r="J308" s="257">
        <v>4183</v>
      </c>
      <c r="K308" s="257">
        <v>10337911.500264959</v>
      </c>
      <c r="L308" s="257">
        <v>1734911.5002649594</v>
      </c>
      <c r="M308" s="257">
        <v>1734911.5002649594</v>
      </c>
      <c r="Q308" s="163"/>
      <c r="R308" s="125"/>
      <c r="S308" s="124"/>
      <c r="T308" s="205"/>
    </row>
    <row r="309" spans="1:20" x14ac:dyDescent="0.2">
      <c r="A309" s="254" t="s">
        <v>629</v>
      </c>
      <c r="B309" s="254" t="s">
        <v>467</v>
      </c>
      <c r="C309" s="254">
        <v>0.1021</v>
      </c>
      <c r="D309" s="254">
        <v>0.2104</v>
      </c>
      <c r="E309" s="254">
        <v>0.17399999999999999</v>
      </c>
      <c r="F309" s="256">
        <v>197.95</v>
      </c>
      <c r="G309" s="257">
        <v>18851126346.718903</v>
      </c>
      <c r="H309" s="257">
        <v>5814255983.3506765</v>
      </c>
      <c r="I309" s="257">
        <v>19247</v>
      </c>
      <c r="J309" s="257">
        <v>22350</v>
      </c>
      <c r="K309" s="257">
        <v>58673303.753334001</v>
      </c>
      <c r="L309" s="257">
        <v>17076303.753334001</v>
      </c>
      <c r="M309" s="257">
        <v>17076303.753334001</v>
      </c>
      <c r="Q309" s="163"/>
      <c r="R309" s="125"/>
      <c r="S309" s="124"/>
      <c r="T309" s="205"/>
    </row>
    <row r="310" spans="1:20" x14ac:dyDescent="0.2">
      <c r="A310" s="254" t="s">
        <v>634</v>
      </c>
      <c r="B310" s="254" t="s">
        <v>218</v>
      </c>
      <c r="C310" s="254">
        <v>0.1135</v>
      </c>
      <c r="D310" s="254">
        <v>0.16600000000000001</v>
      </c>
      <c r="E310" s="254">
        <v>0.13200000000000001</v>
      </c>
      <c r="F310" s="256">
        <v>288.57</v>
      </c>
      <c r="G310" s="257">
        <v>1988546255.506608</v>
      </c>
      <c r="H310" s="257">
        <v>716778523.48993278</v>
      </c>
      <c r="I310" s="257">
        <v>2257</v>
      </c>
      <c r="J310" s="257">
        <v>2136</v>
      </c>
      <c r="K310" s="257">
        <v>6587548.8572864616</v>
      </c>
      <c r="L310" s="257">
        <v>2194548.8572864616</v>
      </c>
      <c r="M310" s="257">
        <v>2194548.8572864616</v>
      </c>
      <c r="Q310" s="163"/>
      <c r="R310" s="125"/>
      <c r="S310" s="124"/>
      <c r="T310" s="205"/>
    </row>
    <row r="311" spans="1:20" x14ac:dyDescent="0.2">
      <c r="A311" s="254" t="s">
        <v>634</v>
      </c>
      <c r="B311" s="254" t="s">
        <v>219</v>
      </c>
      <c r="C311" s="254">
        <v>0.13150000000000001</v>
      </c>
      <c r="D311" s="254">
        <v>0.193</v>
      </c>
      <c r="E311" s="254">
        <v>0.1641</v>
      </c>
      <c r="F311" s="256">
        <v>270.77999999999997</v>
      </c>
      <c r="G311" s="257">
        <v>2695057034.2205324</v>
      </c>
      <c r="H311" s="257">
        <v>577709325.11901438</v>
      </c>
      <c r="I311" s="257">
        <v>3544</v>
      </c>
      <c r="J311" s="257">
        <v>2063</v>
      </c>
      <c r="K311" s="257">
        <v>7412165.6925827302</v>
      </c>
      <c r="L311" s="257">
        <v>1805165.6925827302</v>
      </c>
      <c r="M311" s="257">
        <v>1805165.6925827302</v>
      </c>
      <c r="Q311" s="163"/>
      <c r="R311" s="125"/>
      <c r="S311" s="124"/>
      <c r="T311" s="205"/>
    </row>
    <row r="312" spans="1:20" x14ac:dyDescent="0.2">
      <c r="A312" s="254" t="s">
        <v>628</v>
      </c>
      <c r="B312" s="254" t="s">
        <v>152</v>
      </c>
      <c r="C312" s="254">
        <v>0.11169999999999999</v>
      </c>
      <c r="D312" s="254">
        <v>0.14710000000000001</v>
      </c>
      <c r="E312" s="254">
        <v>9.4299999999999995E-2</v>
      </c>
      <c r="F312" s="256">
        <v>286.18</v>
      </c>
      <c r="G312" s="257">
        <v>3425246195.1656222</v>
      </c>
      <c r="H312" s="257">
        <v>571251035.62551785</v>
      </c>
      <c r="I312" s="257">
        <v>3826</v>
      </c>
      <c r="J312" s="257">
        <v>1379</v>
      </c>
      <c r="K312" s="257">
        <v>8792915.4128520675</v>
      </c>
      <c r="L312" s="257">
        <v>3587915.4128520675</v>
      </c>
      <c r="M312" s="257">
        <v>3587915.4128520675</v>
      </c>
      <c r="Q312" s="163"/>
      <c r="R312" s="125"/>
      <c r="S312" s="124"/>
      <c r="T312" s="205"/>
    </row>
    <row r="313" spans="1:20" x14ac:dyDescent="0.2">
      <c r="A313" s="254" t="s">
        <v>632</v>
      </c>
      <c r="B313" s="254" t="s">
        <v>196</v>
      </c>
      <c r="C313" s="254">
        <v>0.20280000000000001</v>
      </c>
      <c r="D313" s="254">
        <v>0.29480000000000001</v>
      </c>
      <c r="E313" s="254">
        <v>0.25280000000000002</v>
      </c>
      <c r="F313" s="256">
        <v>387.56</v>
      </c>
      <c r="G313" s="257">
        <v>2589743589.7435894</v>
      </c>
      <c r="H313" s="257">
        <v>452154857.56026292</v>
      </c>
      <c r="I313" s="257">
        <v>5252</v>
      </c>
      <c r="J313" s="257">
        <v>2476</v>
      </c>
      <c r="K313" s="257">
        <v>6726052.6118634222</v>
      </c>
      <c r="L313" s="257">
        <v>-1001947.3881365778</v>
      </c>
      <c r="M313" s="257">
        <v>0</v>
      </c>
      <c r="Q313" s="163"/>
      <c r="R313" s="125"/>
      <c r="S313" s="124"/>
      <c r="T313" s="205"/>
    </row>
    <row r="314" spans="1:20" x14ac:dyDescent="0.2">
      <c r="A314" s="254" t="s">
        <v>629</v>
      </c>
      <c r="B314" s="254" t="s">
        <v>468</v>
      </c>
      <c r="C314" s="254">
        <v>9.8900000000000002E-2</v>
      </c>
      <c r="D314" s="254">
        <v>0.2319</v>
      </c>
      <c r="E314" s="254">
        <v>0.18509999999999999</v>
      </c>
      <c r="F314" s="256">
        <v>235.86</v>
      </c>
      <c r="G314" s="257">
        <v>4301314459.0495443</v>
      </c>
      <c r="H314" s="257">
        <v>1182254196.6426859</v>
      </c>
      <c r="I314" s="257">
        <v>4254</v>
      </c>
      <c r="J314" s="257">
        <v>4930</v>
      </c>
      <c r="K314" s="257">
        <v>12831708.990744714</v>
      </c>
      <c r="L314" s="257">
        <v>3647708.9907447137</v>
      </c>
      <c r="M314" s="257">
        <v>3647708.9907447137</v>
      </c>
      <c r="Q314" s="163"/>
      <c r="R314" s="125"/>
      <c r="S314" s="124"/>
      <c r="T314" s="205"/>
    </row>
    <row r="315" spans="1:20" x14ac:dyDescent="0.2">
      <c r="A315" s="254" t="s">
        <v>630</v>
      </c>
      <c r="B315" s="254" t="s">
        <v>337</v>
      </c>
      <c r="C315" s="254">
        <v>0.12920000000000001</v>
      </c>
      <c r="D315" s="254">
        <v>0.24829999999999999</v>
      </c>
      <c r="E315" s="254">
        <v>0.17910000000000001</v>
      </c>
      <c r="F315" s="256">
        <v>336.68</v>
      </c>
      <c r="G315" s="257">
        <v>1465944272.4458203</v>
      </c>
      <c r="H315" s="257">
        <v>153720168.46045858</v>
      </c>
      <c r="I315" s="257">
        <v>1894</v>
      </c>
      <c r="J315" s="257">
        <v>657</v>
      </c>
      <c r="K315" s="257">
        <v>3413765.3730309699</v>
      </c>
      <c r="L315" s="257">
        <v>862765.37303096987</v>
      </c>
      <c r="M315" s="257">
        <v>862765.37303096987</v>
      </c>
      <c r="Q315" s="163"/>
      <c r="R315" s="125"/>
      <c r="S315" s="124"/>
      <c r="T315" s="205"/>
    </row>
    <row r="316" spans="1:20" x14ac:dyDescent="0.2">
      <c r="A316" s="254" t="s">
        <v>630</v>
      </c>
      <c r="B316" s="254" t="s">
        <v>338</v>
      </c>
      <c r="C316" s="254">
        <v>0.1188</v>
      </c>
      <c r="D316" s="254">
        <v>0.25990000000000002</v>
      </c>
      <c r="E316" s="254">
        <v>0.20019999999999999</v>
      </c>
      <c r="F316" s="256">
        <v>309.49</v>
      </c>
      <c r="G316" s="257">
        <v>3306397306.3973064</v>
      </c>
      <c r="H316" s="257">
        <v>689415344.49032819</v>
      </c>
      <c r="I316" s="257">
        <v>3928</v>
      </c>
      <c r="J316" s="257">
        <v>3172</v>
      </c>
      <c r="K316" s="257">
        <v>9019063.8911025785</v>
      </c>
      <c r="L316" s="257">
        <v>1919063.8911025785</v>
      </c>
      <c r="M316" s="257">
        <v>1919063.8911025785</v>
      </c>
      <c r="Q316" s="163"/>
      <c r="R316" s="125"/>
      <c r="S316" s="124"/>
      <c r="T316" s="205"/>
    </row>
    <row r="317" spans="1:20" x14ac:dyDescent="0.2">
      <c r="A317" s="254" t="s">
        <v>635</v>
      </c>
      <c r="B317" s="254" t="s">
        <v>515</v>
      </c>
      <c r="C317" s="254">
        <v>0.18870000000000001</v>
      </c>
      <c r="D317" s="254">
        <v>0.3155</v>
      </c>
      <c r="E317" s="254">
        <v>0.24310000000000001</v>
      </c>
      <c r="F317" s="256">
        <v>395.9</v>
      </c>
      <c r="G317" s="257">
        <v>1265500794.9125595</v>
      </c>
      <c r="H317" s="257">
        <v>325098460.43680632</v>
      </c>
      <c r="I317" s="257">
        <v>2388</v>
      </c>
      <c r="J317" s="257">
        <v>1816</v>
      </c>
      <c r="K317" s="257">
        <v>3687718.1028883811</v>
      </c>
      <c r="L317" s="257">
        <v>-516281.89711161889</v>
      </c>
      <c r="M317" s="257">
        <v>0</v>
      </c>
      <c r="Q317" s="163"/>
      <c r="R317" s="125"/>
      <c r="S317" s="124"/>
      <c r="T317" s="205"/>
    </row>
    <row r="318" spans="1:20" x14ac:dyDescent="0.2">
      <c r="A318" s="254" t="s">
        <v>636</v>
      </c>
      <c r="B318" s="254" t="s">
        <v>293</v>
      </c>
      <c r="C318" s="254">
        <v>9.1200000000000003E-2</v>
      </c>
      <c r="D318" s="254">
        <v>0.31730000000000003</v>
      </c>
      <c r="E318" s="254">
        <v>0.25629999999999997</v>
      </c>
      <c r="F318" s="256">
        <v>238.75</v>
      </c>
      <c r="G318" s="257">
        <v>37854166666.666664</v>
      </c>
      <c r="H318" s="257">
        <v>10762552301.25523</v>
      </c>
      <c r="I318" s="257">
        <v>34523</v>
      </c>
      <c r="J318" s="257">
        <v>61734</v>
      </c>
      <c r="K318" s="257">
        <v>114305097.19316596</v>
      </c>
      <c r="L318" s="257">
        <v>18048097.193165958</v>
      </c>
      <c r="M318" s="257">
        <v>18048097.193165958</v>
      </c>
      <c r="Q318" s="163"/>
      <c r="R318" s="125"/>
      <c r="S318" s="124"/>
      <c r="T318" s="205"/>
    </row>
    <row r="319" spans="1:20" x14ac:dyDescent="0.2">
      <c r="A319" s="254" t="s">
        <v>636</v>
      </c>
      <c r="B319" s="254" t="s">
        <v>294</v>
      </c>
      <c r="C319" s="254">
        <v>0.1113</v>
      </c>
      <c r="D319" s="254">
        <v>0.16370000000000001</v>
      </c>
      <c r="E319" s="254">
        <v>0.1484</v>
      </c>
      <c r="F319" s="256">
        <v>365.79</v>
      </c>
      <c r="G319" s="257">
        <v>6812219227.3135662</v>
      </c>
      <c r="H319" s="257">
        <v>917013777.63537312</v>
      </c>
      <c r="I319" s="257">
        <v>7582</v>
      </c>
      <c r="J319" s="257">
        <v>2862</v>
      </c>
      <c r="K319" s="257">
        <v>16644025.056474803</v>
      </c>
      <c r="L319" s="257">
        <v>6200025.056474803</v>
      </c>
      <c r="M319" s="257">
        <v>6200025.056474803</v>
      </c>
      <c r="Q319" s="163"/>
      <c r="R319" s="125"/>
      <c r="S319" s="124"/>
      <c r="T319" s="205"/>
    </row>
    <row r="320" spans="1:20" x14ac:dyDescent="0.2">
      <c r="A320" s="254" t="s">
        <v>638</v>
      </c>
      <c r="B320" s="254" t="s">
        <v>505</v>
      </c>
      <c r="C320" s="254">
        <v>0.1507</v>
      </c>
      <c r="D320" s="254">
        <v>0.26069999999999999</v>
      </c>
      <c r="E320" s="254">
        <v>0.21820000000000001</v>
      </c>
      <c r="F320" s="256">
        <v>230.39</v>
      </c>
      <c r="G320" s="257">
        <v>855341738.55341733</v>
      </c>
      <c r="H320" s="257">
        <v>132386719.56567134</v>
      </c>
      <c r="I320" s="257">
        <v>1289</v>
      </c>
      <c r="J320" s="257">
        <v>634</v>
      </c>
      <c r="K320" s="257">
        <v>2156221.7170431633</v>
      </c>
      <c r="L320" s="257">
        <v>233221.71704316325</v>
      </c>
      <c r="M320" s="257">
        <v>233221.71704316325</v>
      </c>
      <c r="Q320" s="163"/>
      <c r="R320" s="125"/>
      <c r="S320" s="124"/>
      <c r="T320" s="205"/>
    </row>
    <row r="321" spans="1:20" x14ac:dyDescent="0.2">
      <c r="A321" s="254" t="s">
        <v>638</v>
      </c>
      <c r="B321" s="254" t="s">
        <v>506</v>
      </c>
      <c r="C321" s="254">
        <v>0.17130000000000001</v>
      </c>
      <c r="D321" s="254">
        <v>0.378</v>
      </c>
      <c r="E321" s="254">
        <v>0.30259999999999998</v>
      </c>
      <c r="F321" s="256">
        <v>343.72</v>
      </c>
      <c r="G321" s="257">
        <v>1628721541.1558669</v>
      </c>
      <c r="H321" s="257">
        <v>316191595.65089631</v>
      </c>
      <c r="I321" s="257">
        <v>2790</v>
      </c>
      <c r="J321" s="257">
        <v>2152</v>
      </c>
      <c r="K321" s="257">
        <v>4352626.6099809948</v>
      </c>
      <c r="L321" s="257">
        <v>-589373.39001900516</v>
      </c>
      <c r="M321" s="257">
        <v>0</v>
      </c>
      <c r="Q321" s="163"/>
      <c r="R321" s="125"/>
      <c r="S321" s="124"/>
      <c r="T321" s="205"/>
    </row>
    <row r="322" spans="1:20" x14ac:dyDescent="0.2">
      <c r="A322" s="254" t="s">
        <v>629</v>
      </c>
      <c r="B322" s="254" t="s">
        <v>469</v>
      </c>
      <c r="C322" s="254">
        <v>0.13519999999999999</v>
      </c>
      <c r="D322" s="254">
        <v>0.2296</v>
      </c>
      <c r="E322" s="254">
        <v>0.1958</v>
      </c>
      <c r="F322" s="256">
        <v>340.36</v>
      </c>
      <c r="G322" s="257">
        <v>3618343195.2662725</v>
      </c>
      <c r="H322" s="257">
        <v>700752233.19228959</v>
      </c>
      <c r="I322" s="257">
        <v>4892</v>
      </c>
      <c r="J322" s="257">
        <v>2981</v>
      </c>
      <c r="K322" s="257">
        <v>9663206.7486778907</v>
      </c>
      <c r="L322" s="257">
        <v>1790206.7486778907</v>
      </c>
      <c r="M322" s="257">
        <v>1790206.7486778907</v>
      </c>
      <c r="Q322" s="163"/>
      <c r="R322" s="125"/>
      <c r="S322" s="124"/>
      <c r="T322" s="205"/>
    </row>
    <row r="323" spans="1:20" x14ac:dyDescent="0.2">
      <c r="A323" s="254" t="s">
        <v>637</v>
      </c>
      <c r="B323" s="254" t="s">
        <v>175</v>
      </c>
      <c r="C323" s="254">
        <v>0.22789999999999999</v>
      </c>
      <c r="D323" s="254">
        <v>0.3584</v>
      </c>
      <c r="E323" s="254">
        <v>0.25109999999999999</v>
      </c>
      <c r="F323" s="256">
        <v>320.58</v>
      </c>
      <c r="G323" s="257">
        <v>1745063624.3966653</v>
      </c>
      <c r="H323" s="257">
        <v>452994257.58818704</v>
      </c>
      <c r="I323" s="257">
        <v>3977</v>
      </c>
      <c r="J323" s="257">
        <v>2761</v>
      </c>
      <c r="K323" s="257">
        <v>5103275.3686781013</v>
      </c>
      <c r="L323" s="257">
        <v>-1634724.6313218987</v>
      </c>
      <c r="M323" s="257">
        <v>0</v>
      </c>
      <c r="Q323" s="163"/>
      <c r="R323" s="125"/>
      <c r="S323" s="124"/>
      <c r="T323" s="205"/>
    </row>
    <row r="324" spans="1:20" x14ac:dyDescent="0.2">
      <c r="A324" s="254" t="s">
        <v>636</v>
      </c>
      <c r="B324" s="254" t="s">
        <v>295</v>
      </c>
      <c r="C324" s="254">
        <v>0.1056</v>
      </c>
      <c r="D324" s="254">
        <v>0.22439999999999999</v>
      </c>
      <c r="E324" s="254">
        <v>0.1792</v>
      </c>
      <c r="F324" s="256">
        <v>228.65</v>
      </c>
      <c r="G324" s="257">
        <v>5910037878.787878</v>
      </c>
      <c r="H324" s="257">
        <v>1409068384.5391479</v>
      </c>
      <c r="I324" s="257">
        <v>6241</v>
      </c>
      <c r="J324" s="257">
        <v>5687</v>
      </c>
      <c r="K324" s="257">
        <v>16801736.197142385</v>
      </c>
      <c r="L324" s="257">
        <v>4873736.1971423849</v>
      </c>
      <c r="M324" s="257">
        <v>4873736.1971423849</v>
      </c>
      <c r="Q324" s="163"/>
      <c r="R324" s="125"/>
      <c r="S324" s="124"/>
      <c r="T324" s="205"/>
    </row>
    <row r="325" spans="1:20" x14ac:dyDescent="0.2">
      <c r="A325" s="254" t="s">
        <v>640</v>
      </c>
      <c r="B325" s="254" t="s">
        <v>414</v>
      </c>
      <c r="C325" s="254">
        <v>0.1017</v>
      </c>
      <c r="D325" s="254">
        <v>0.13669999999999999</v>
      </c>
      <c r="E325" s="254">
        <v>0.1089</v>
      </c>
      <c r="F325" s="256">
        <v>270.98</v>
      </c>
      <c r="G325" s="257">
        <v>3580137659.7836781</v>
      </c>
      <c r="H325" s="257">
        <v>704397394.13680792</v>
      </c>
      <c r="I325" s="257">
        <v>3641</v>
      </c>
      <c r="J325" s="257">
        <v>1730</v>
      </c>
      <c r="K325" s="257">
        <v>9603694.9625102915</v>
      </c>
      <c r="L325" s="257">
        <v>4232694.9625102915</v>
      </c>
      <c r="M325" s="257">
        <v>4232694.9625102915</v>
      </c>
      <c r="Q325" s="163"/>
      <c r="R325" s="125"/>
      <c r="S325" s="124"/>
      <c r="T325" s="205"/>
    </row>
    <row r="326" spans="1:20" x14ac:dyDescent="0.2">
      <c r="A326" s="254" t="s">
        <v>629</v>
      </c>
      <c r="B326" s="254" t="s">
        <v>471</v>
      </c>
      <c r="C326" s="254">
        <v>9.2499999999999999E-2</v>
      </c>
      <c r="D326" s="254">
        <v>0.20960000000000001</v>
      </c>
      <c r="E326" s="254">
        <v>0.13469999999999999</v>
      </c>
      <c r="F326" s="256">
        <v>258.10000000000002</v>
      </c>
      <c r="G326" s="257">
        <v>5467027027.0270271</v>
      </c>
      <c r="H326" s="257">
        <v>1207667731.6293931</v>
      </c>
      <c r="I326" s="257">
        <v>5057</v>
      </c>
      <c r="J326" s="257">
        <v>4158</v>
      </c>
      <c r="K326" s="257">
        <v>15173547.79380019</v>
      </c>
      <c r="L326" s="257">
        <v>5958547.7938001901</v>
      </c>
      <c r="M326" s="257">
        <v>5958547.7938001901</v>
      </c>
      <c r="Q326" s="163"/>
      <c r="R326" s="125"/>
      <c r="S326" s="124"/>
      <c r="T326" s="205"/>
    </row>
    <row r="327" spans="1:20" x14ac:dyDescent="0.2">
      <c r="A327" s="254" t="s">
        <v>630</v>
      </c>
      <c r="B327" s="254" t="s">
        <v>339</v>
      </c>
      <c r="C327" s="254">
        <v>0.109</v>
      </c>
      <c r="D327" s="254">
        <v>0.26729999999999998</v>
      </c>
      <c r="E327" s="254">
        <v>0.2147</v>
      </c>
      <c r="F327" s="256">
        <v>263.76</v>
      </c>
      <c r="G327" s="257">
        <v>7278899082.5688066</v>
      </c>
      <c r="H327" s="257">
        <v>1555186721.9917014</v>
      </c>
      <c r="I327" s="257">
        <v>7934</v>
      </c>
      <c r="J327" s="257">
        <v>7496</v>
      </c>
      <c r="K327" s="257">
        <v>19999349.613613002</v>
      </c>
      <c r="L327" s="257">
        <v>4569349.613613002</v>
      </c>
      <c r="M327" s="257">
        <v>4569349.613613002</v>
      </c>
      <c r="Q327" s="163"/>
      <c r="R327" s="125"/>
      <c r="S327" s="124"/>
      <c r="T327" s="205"/>
    </row>
    <row r="328" spans="1:20" x14ac:dyDescent="0.2">
      <c r="A328" s="254" t="s">
        <v>638</v>
      </c>
      <c r="B328" s="254" t="s">
        <v>507</v>
      </c>
      <c r="C328" s="254">
        <v>0.19670000000000001</v>
      </c>
      <c r="D328" s="254">
        <v>0.33939999999999998</v>
      </c>
      <c r="E328" s="254">
        <v>0.27260000000000001</v>
      </c>
      <c r="F328" s="256">
        <v>371.41</v>
      </c>
      <c r="G328" s="257">
        <v>8753940010.1677685</v>
      </c>
      <c r="H328" s="257">
        <v>3345751633.9869285</v>
      </c>
      <c r="I328" s="257">
        <v>17219</v>
      </c>
      <c r="J328" s="257">
        <v>20476</v>
      </c>
      <c r="K328" s="257">
        <v>29732478.310422629</v>
      </c>
      <c r="L328" s="257">
        <v>-7962521.6895773709</v>
      </c>
      <c r="M328" s="257">
        <v>0</v>
      </c>
      <c r="Q328" s="163"/>
      <c r="R328" s="125"/>
      <c r="S328" s="124"/>
      <c r="T328" s="205"/>
    </row>
    <row r="329" spans="1:20" x14ac:dyDescent="0.2">
      <c r="A329" s="254" t="s">
        <v>638</v>
      </c>
      <c r="B329" s="254" t="s">
        <v>508</v>
      </c>
      <c r="C329" s="254">
        <v>0.15140000000000001</v>
      </c>
      <c r="D329" s="254">
        <v>0.31209999999999999</v>
      </c>
      <c r="E329" s="254">
        <v>0.25009999999999999</v>
      </c>
      <c r="F329" s="256">
        <v>322.8</v>
      </c>
      <c r="G329" s="257">
        <v>3871862615.5878463</v>
      </c>
      <c r="H329" s="257">
        <v>1580932052.6503024</v>
      </c>
      <c r="I329" s="257">
        <v>5862</v>
      </c>
      <c r="J329" s="257">
        <v>8888</v>
      </c>
      <c r="K329" s="257">
        <v>13539923.937710268</v>
      </c>
      <c r="L329" s="257">
        <v>-1210076.0622897316</v>
      </c>
      <c r="M329" s="257">
        <v>0</v>
      </c>
      <c r="Q329" s="163"/>
      <c r="R329" s="125"/>
      <c r="S329" s="105"/>
      <c r="T329" s="205"/>
    </row>
    <row r="330" spans="1:20" x14ac:dyDescent="0.2">
      <c r="A330" s="254" t="s">
        <v>636</v>
      </c>
      <c r="B330" s="254" t="s">
        <v>296</v>
      </c>
      <c r="C330" s="254">
        <v>0.1004</v>
      </c>
      <c r="D330" s="254">
        <v>0.26119999999999999</v>
      </c>
      <c r="E330" s="254">
        <v>0.2155</v>
      </c>
      <c r="F330" s="256">
        <v>229.11</v>
      </c>
      <c r="G330" s="257">
        <v>2004980079.6812747</v>
      </c>
      <c r="H330" s="257">
        <v>516886930.98384726</v>
      </c>
      <c r="I330" s="257">
        <v>2013</v>
      </c>
      <c r="J330" s="257">
        <v>2464</v>
      </c>
      <c r="K330" s="257">
        <v>5849601.3376742657</v>
      </c>
      <c r="L330" s="257">
        <v>1372601.3376742657</v>
      </c>
      <c r="M330" s="257">
        <v>1372601.3376742657</v>
      </c>
      <c r="Q330" s="163"/>
      <c r="R330" s="125"/>
      <c r="S330" s="124"/>
      <c r="T330" s="205"/>
    </row>
    <row r="331" spans="1:20" x14ac:dyDescent="0.2">
      <c r="A331" s="254" t="s">
        <v>633</v>
      </c>
      <c r="B331" s="254" t="s">
        <v>392</v>
      </c>
      <c r="C331" s="254">
        <v>0.1482</v>
      </c>
      <c r="D331" s="254">
        <v>0.30249999999999999</v>
      </c>
      <c r="E331" s="254">
        <v>0.21940000000000001</v>
      </c>
      <c r="F331" s="256">
        <v>249.54</v>
      </c>
      <c r="G331" s="257">
        <v>5945344129.554656</v>
      </c>
      <c r="H331" s="257">
        <v>1428051350.8334928</v>
      </c>
      <c r="I331" s="257">
        <v>8811</v>
      </c>
      <c r="J331" s="257">
        <v>7453</v>
      </c>
      <c r="K331" s="257">
        <v>16942785.150101662</v>
      </c>
      <c r="L331" s="257">
        <v>678785.15010166168</v>
      </c>
      <c r="M331" s="257">
        <v>678785.15010166168</v>
      </c>
      <c r="Q331" s="163"/>
      <c r="R331" s="125"/>
      <c r="S331" s="124"/>
      <c r="T331" s="205"/>
    </row>
    <row r="332" spans="1:20" x14ac:dyDescent="0.2">
      <c r="A332" s="254" t="s">
        <v>632</v>
      </c>
      <c r="B332" s="254" t="s">
        <v>197</v>
      </c>
      <c r="C332" s="254">
        <v>7.3249999999999996E-2</v>
      </c>
      <c r="D332" s="254">
        <v>0.20602999999999999</v>
      </c>
      <c r="E332" s="254">
        <v>0.19606999999999999</v>
      </c>
      <c r="F332" s="256">
        <v>200.63</v>
      </c>
      <c r="G332" s="257">
        <v>341296928.32764506</v>
      </c>
      <c r="H332" s="257">
        <v>74857000.746083066</v>
      </c>
      <c r="I332" s="257">
        <v>250</v>
      </c>
      <c r="J332" s="257">
        <v>301</v>
      </c>
      <c r="K332" s="257">
        <v>945196.03990313667</v>
      </c>
      <c r="L332" s="257">
        <v>394196.03990313667</v>
      </c>
      <c r="M332" s="257">
        <v>394196.03990313667</v>
      </c>
      <c r="Q332" s="163"/>
      <c r="R332" s="125"/>
      <c r="S332" s="124"/>
      <c r="T332" s="205"/>
    </row>
    <row r="333" spans="1:20" x14ac:dyDescent="0.2">
      <c r="A333" s="254" t="s">
        <v>640</v>
      </c>
      <c r="B333" s="254" t="s">
        <v>415</v>
      </c>
      <c r="C333" s="254">
        <v>0.151</v>
      </c>
      <c r="D333" s="254">
        <v>0.37880000000000003</v>
      </c>
      <c r="E333" s="254">
        <v>0.30080000000000001</v>
      </c>
      <c r="F333" s="256">
        <v>233.25</v>
      </c>
      <c r="G333" s="257">
        <v>3423178807.9470196</v>
      </c>
      <c r="H333" s="257">
        <v>1115214832.2542672</v>
      </c>
      <c r="I333" s="257">
        <v>5169</v>
      </c>
      <c r="J333" s="257">
        <v>7579</v>
      </c>
      <c r="K333" s="257">
        <v>10883196.309476942</v>
      </c>
      <c r="L333" s="257">
        <v>-1864803.6905230582</v>
      </c>
      <c r="M333" s="257">
        <v>0</v>
      </c>
      <c r="Q333" s="163"/>
      <c r="R333" s="125"/>
      <c r="S333" s="124"/>
      <c r="T333" s="205"/>
    </row>
    <row r="334" spans="1:20" x14ac:dyDescent="0.2">
      <c r="A334" s="254" t="s">
        <v>638</v>
      </c>
      <c r="B334" s="254" t="s">
        <v>509</v>
      </c>
      <c r="C334" s="254">
        <v>0.14143900000000001</v>
      </c>
      <c r="D334" s="254">
        <v>0.18171499999999999</v>
      </c>
      <c r="E334" s="254">
        <v>0.156195</v>
      </c>
      <c r="F334" s="256">
        <v>314.85000000000002</v>
      </c>
      <c r="G334" s="257">
        <v>1218900020.5035384</v>
      </c>
      <c r="H334" s="257">
        <v>140274037.46559736</v>
      </c>
      <c r="I334" s="257">
        <v>1724</v>
      </c>
      <c r="J334" s="257">
        <v>474</v>
      </c>
      <c r="K334" s="257">
        <v>2886437.5837118612</v>
      </c>
      <c r="L334" s="257">
        <v>688437.58371186117</v>
      </c>
      <c r="M334" s="257">
        <v>688437.58371186117</v>
      </c>
      <c r="Q334" s="163"/>
      <c r="R334" s="125"/>
      <c r="S334" s="124"/>
      <c r="T334" s="205"/>
    </row>
    <row r="335" spans="1:20" x14ac:dyDescent="0.2">
      <c r="A335" s="254" t="s">
        <v>633</v>
      </c>
      <c r="B335" s="254" t="s">
        <v>393</v>
      </c>
      <c r="C335" s="254">
        <v>0.158</v>
      </c>
      <c r="D335" s="254">
        <v>0.21510000000000001</v>
      </c>
      <c r="E335" s="254">
        <v>0.17730000000000001</v>
      </c>
      <c r="F335" s="256">
        <v>493.19</v>
      </c>
      <c r="G335" s="257">
        <v>3503164556.9620252</v>
      </c>
      <c r="H335" s="257">
        <v>277777777.77777773</v>
      </c>
      <c r="I335" s="257">
        <v>5535</v>
      </c>
      <c r="J335" s="257">
        <v>1090</v>
      </c>
      <c r="K335" s="257">
        <v>7813036.2165963426</v>
      </c>
      <c r="L335" s="257">
        <v>1188036.2165963426</v>
      </c>
      <c r="M335" s="257">
        <v>1188036.2165963426</v>
      </c>
      <c r="Q335" s="163"/>
      <c r="R335" s="125"/>
      <c r="S335" s="124"/>
      <c r="T335" s="205"/>
    </row>
    <row r="336" spans="1:20" x14ac:dyDescent="0.2">
      <c r="A336" s="254" t="s">
        <v>631</v>
      </c>
      <c r="B336" s="254" t="s">
        <v>267</v>
      </c>
      <c r="C336" s="254">
        <v>0.1143</v>
      </c>
      <c r="D336" s="254">
        <v>0.19570000000000001</v>
      </c>
      <c r="E336" s="254">
        <v>0.14810000000000001</v>
      </c>
      <c r="F336" s="256">
        <v>312.94</v>
      </c>
      <c r="G336" s="257">
        <v>2648293963.2545934</v>
      </c>
      <c r="H336" s="257">
        <v>598894706.22454917</v>
      </c>
      <c r="I336" s="257">
        <v>3027</v>
      </c>
      <c r="J336" s="257">
        <v>2059</v>
      </c>
      <c r="K336" s="257">
        <v>7403710.4982296061</v>
      </c>
      <c r="L336" s="257">
        <v>2317710.4982296061</v>
      </c>
      <c r="M336" s="257">
        <v>2317710.4982296061</v>
      </c>
      <c r="Q336" s="163"/>
      <c r="R336" s="125"/>
      <c r="S336" s="124"/>
      <c r="T336" s="205"/>
    </row>
    <row r="337" spans="1:20" x14ac:dyDescent="0.2">
      <c r="A337" s="254" t="s">
        <v>629</v>
      </c>
      <c r="B337" s="254" t="s">
        <v>472</v>
      </c>
      <c r="C337" s="254">
        <v>0.12470000000000001</v>
      </c>
      <c r="D337" s="254">
        <v>0.24249999999999999</v>
      </c>
      <c r="E337" s="254">
        <v>0.18679999999999999</v>
      </c>
      <c r="F337" s="256">
        <v>425.04</v>
      </c>
      <c r="G337" s="257">
        <v>3927024859.6631913</v>
      </c>
      <c r="H337" s="257">
        <v>713254134.63778245</v>
      </c>
      <c r="I337" s="257">
        <v>4897</v>
      </c>
      <c r="J337" s="257">
        <v>3062</v>
      </c>
      <c r="K337" s="257">
        <v>10305551.273207106</v>
      </c>
      <c r="L337" s="257">
        <v>2346551.2732071057</v>
      </c>
      <c r="M337" s="257">
        <v>2346551.2732071057</v>
      </c>
      <c r="Q337" s="163"/>
      <c r="R337" s="125"/>
      <c r="S337" s="124"/>
      <c r="T337" s="205"/>
    </row>
    <row r="338" spans="1:20" x14ac:dyDescent="0.2">
      <c r="A338" s="254" t="s">
        <v>632</v>
      </c>
      <c r="B338" s="254" t="s">
        <v>820</v>
      </c>
      <c r="C338" s="254">
        <v>0.1593</v>
      </c>
      <c r="D338" s="254">
        <v>0.2107</v>
      </c>
      <c r="E338" s="254">
        <v>0.1585</v>
      </c>
      <c r="F338" s="256">
        <v>248.98</v>
      </c>
      <c r="G338" s="257">
        <v>2892000000</v>
      </c>
      <c r="H338" s="257">
        <v>677000000</v>
      </c>
      <c r="I338" s="257">
        <v>4606.9560000000001</v>
      </c>
      <c r="J338" s="257">
        <v>2499.4839999999995</v>
      </c>
      <c r="K338" s="257">
        <v>8173550</v>
      </c>
      <c r="L338" s="257">
        <v>1067110.0000000005</v>
      </c>
      <c r="M338" s="257">
        <v>1067110.0000000005</v>
      </c>
      <c r="Q338" s="163"/>
      <c r="R338" s="125"/>
      <c r="S338" s="124"/>
      <c r="T338" s="205"/>
    </row>
    <row r="339" spans="1:20" x14ac:dyDescent="0.2">
      <c r="A339" s="254" t="s">
        <v>629</v>
      </c>
      <c r="B339" s="254" t="s">
        <v>473</v>
      </c>
      <c r="C339" s="254">
        <v>0.11515</v>
      </c>
      <c r="D339" s="254">
        <v>0.19957</v>
      </c>
      <c r="E339" s="254">
        <v>0.16053000000000001</v>
      </c>
      <c r="F339" s="256">
        <v>364.2</v>
      </c>
      <c r="G339" s="257">
        <v>2333478072.079896</v>
      </c>
      <c r="H339" s="257">
        <v>203554568.17550683</v>
      </c>
      <c r="I339" s="257">
        <v>2687</v>
      </c>
      <c r="J339" s="257">
        <v>733</v>
      </c>
      <c r="K339" s="257">
        <v>5275630.3762295013</v>
      </c>
      <c r="L339" s="257">
        <v>1855630.3762295013</v>
      </c>
      <c r="M339" s="257">
        <v>1855630.3762295013</v>
      </c>
      <c r="Q339" s="163"/>
      <c r="R339" s="125"/>
      <c r="S339" s="124"/>
      <c r="T339" s="205"/>
    </row>
    <row r="340" spans="1:20" x14ac:dyDescent="0.2">
      <c r="A340" s="254" t="s">
        <v>629</v>
      </c>
      <c r="B340" s="254" t="s">
        <v>474</v>
      </c>
      <c r="C340" s="254">
        <v>0.12280000000000001</v>
      </c>
      <c r="D340" s="254">
        <v>0.23069999999999999</v>
      </c>
      <c r="E340" s="254">
        <v>0.14729999999999999</v>
      </c>
      <c r="F340" s="256">
        <v>271.76</v>
      </c>
      <c r="G340" s="257">
        <v>4637622149.8371334</v>
      </c>
      <c r="H340" s="257">
        <v>1497883597.8835979</v>
      </c>
      <c r="I340" s="257">
        <v>5695</v>
      </c>
      <c r="J340" s="257">
        <v>5662</v>
      </c>
      <c r="K340" s="257">
        <v>14694274.490288332</v>
      </c>
      <c r="L340" s="257">
        <v>3337274.4902883321</v>
      </c>
      <c r="M340" s="257">
        <v>3337274.4902883321</v>
      </c>
      <c r="Q340" s="163"/>
      <c r="R340" s="125"/>
      <c r="S340" s="124"/>
      <c r="T340" s="205"/>
    </row>
    <row r="341" spans="1:20" x14ac:dyDescent="0.2">
      <c r="A341" s="254" t="s">
        <v>633</v>
      </c>
      <c r="B341" s="254" t="s">
        <v>394</v>
      </c>
      <c r="C341" s="254">
        <v>0.1429</v>
      </c>
      <c r="D341" s="254">
        <v>0.30890000000000001</v>
      </c>
      <c r="E341" s="254">
        <v>0.24890000000000001</v>
      </c>
      <c r="F341" s="256">
        <v>304.66000000000003</v>
      </c>
      <c r="G341" s="257">
        <v>2420573827.8516445</v>
      </c>
      <c r="H341" s="257">
        <v>706346360.70276082</v>
      </c>
      <c r="I341" s="257">
        <v>3459</v>
      </c>
      <c r="J341" s="257">
        <v>3940</v>
      </c>
      <c r="K341" s="257">
        <v>7379038.1073200442</v>
      </c>
      <c r="L341" s="257">
        <v>-19961.89267995581</v>
      </c>
      <c r="M341" s="257">
        <v>0</v>
      </c>
      <c r="Q341" s="163"/>
      <c r="R341" s="125"/>
      <c r="S341" s="124"/>
      <c r="T341" s="205"/>
    </row>
    <row r="342" spans="1:20" x14ac:dyDescent="0.2">
      <c r="A342" s="254" t="s">
        <v>631</v>
      </c>
      <c r="B342" s="254" t="s">
        <v>268</v>
      </c>
      <c r="C342" s="254">
        <v>0.15909999999999999</v>
      </c>
      <c r="D342" s="254">
        <v>0.33679999999999999</v>
      </c>
      <c r="E342" s="254">
        <v>0.26966000000000001</v>
      </c>
      <c r="F342" s="256">
        <v>363.8</v>
      </c>
      <c r="G342" s="257">
        <v>3213702074.1671906</v>
      </c>
      <c r="H342" s="257">
        <v>748111994.19582498</v>
      </c>
      <c r="I342" s="257">
        <v>5113</v>
      </c>
      <c r="J342" s="257">
        <v>4537</v>
      </c>
      <c r="K342" s="257">
        <v>9066607.6704257689</v>
      </c>
      <c r="L342" s="257">
        <v>-583392.32957423106</v>
      </c>
      <c r="M342" s="257">
        <v>0</v>
      </c>
      <c r="Q342" s="163"/>
      <c r="R342" s="125"/>
      <c r="S342" s="124"/>
      <c r="T342" s="205"/>
    </row>
    <row r="343" spans="1:20" x14ac:dyDescent="0.2">
      <c r="A343" s="254" t="s">
        <v>633</v>
      </c>
      <c r="B343" s="254" t="s">
        <v>395</v>
      </c>
      <c r="C343" s="254">
        <v>0.10630000000000001</v>
      </c>
      <c r="D343" s="254">
        <v>0.27100000000000002</v>
      </c>
      <c r="E343" s="254">
        <v>0.23430000000000001</v>
      </c>
      <c r="F343" s="256">
        <v>558.37</v>
      </c>
      <c r="G343" s="257">
        <v>6297271872.0602064</v>
      </c>
      <c r="H343" s="257">
        <v>533148624.57945764</v>
      </c>
      <c r="I343" s="257">
        <v>6694</v>
      </c>
      <c r="J343" s="257">
        <v>2694</v>
      </c>
      <c r="K343" s="257">
        <v>14174870.55834681</v>
      </c>
      <c r="L343" s="257">
        <v>4786870.5583468098</v>
      </c>
      <c r="M343" s="257">
        <v>4786870.5583468098</v>
      </c>
      <c r="Q343" s="163"/>
      <c r="R343" s="125"/>
      <c r="S343" s="124"/>
      <c r="T343" s="205"/>
    </row>
    <row r="344" spans="1:20" x14ac:dyDescent="0.2">
      <c r="A344" s="254" t="s">
        <v>630</v>
      </c>
      <c r="B344" s="254" t="s">
        <v>340</v>
      </c>
      <c r="C344" s="254">
        <v>9.7199999999999995E-2</v>
      </c>
      <c r="D344" s="254">
        <v>0.2341</v>
      </c>
      <c r="E344" s="254">
        <v>0.1757</v>
      </c>
      <c r="F344" s="256">
        <v>301.44</v>
      </c>
      <c r="G344" s="257">
        <v>2340534979.4238682</v>
      </c>
      <c r="H344" s="257">
        <v>175451439.72669595</v>
      </c>
      <c r="I344" s="257">
        <v>2275</v>
      </c>
      <c r="J344" s="257">
        <v>719</v>
      </c>
      <c r="K344" s="257">
        <v>5181017.8783387262</v>
      </c>
      <c r="L344" s="257">
        <v>2187017.8783387262</v>
      </c>
      <c r="M344" s="257">
        <v>2187017.8783387262</v>
      </c>
      <c r="Q344" s="163"/>
      <c r="R344" s="125"/>
      <c r="S344" s="124"/>
      <c r="T344" s="205"/>
    </row>
    <row r="345" spans="1:20" x14ac:dyDescent="0.2">
      <c r="A345" s="254" t="s">
        <v>638</v>
      </c>
      <c r="B345" s="254" t="s">
        <v>510</v>
      </c>
      <c r="C345" s="254">
        <v>0.1208</v>
      </c>
      <c r="D345" s="254">
        <v>0.21490000000000001</v>
      </c>
      <c r="E345" s="254">
        <v>0.13070000000000001</v>
      </c>
      <c r="F345" s="256">
        <v>266.31</v>
      </c>
      <c r="G345" s="257">
        <v>4818708609.2715225</v>
      </c>
      <c r="H345" s="257">
        <v>1309317129.6296296</v>
      </c>
      <c r="I345" s="257">
        <v>5821</v>
      </c>
      <c r="J345" s="257">
        <v>4525</v>
      </c>
      <c r="K345" s="257">
        <v>14316885.021921756</v>
      </c>
      <c r="L345" s="257">
        <v>3970885.0219217557</v>
      </c>
      <c r="M345" s="257">
        <v>3970885.0219217557</v>
      </c>
      <c r="Q345" s="163"/>
      <c r="R345" s="125"/>
      <c r="S345" s="124"/>
      <c r="T345" s="205"/>
    </row>
    <row r="346" spans="1:20" x14ac:dyDescent="0.2">
      <c r="A346" s="254" t="s">
        <v>630</v>
      </c>
      <c r="B346" s="254" t="s">
        <v>341</v>
      </c>
      <c r="C346" s="254">
        <v>9.4600000000000004E-2</v>
      </c>
      <c r="D346" s="254">
        <v>0.24929999999999999</v>
      </c>
      <c r="E346" s="254">
        <v>0.19939999999999999</v>
      </c>
      <c r="F346" s="256">
        <v>238.3</v>
      </c>
      <c r="G346" s="257">
        <v>2255813953.4883718</v>
      </c>
      <c r="H346" s="257">
        <v>406953420.99398267</v>
      </c>
      <c r="I346" s="257">
        <v>2134</v>
      </c>
      <c r="J346" s="257">
        <v>1826</v>
      </c>
      <c r="K346" s="257">
        <v>5909212.5312919486</v>
      </c>
      <c r="L346" s="257">
        <v>1949212.5312919486</v>
      </c>
      <c r="M346" s="257">
        <v>1949212.5312919486</v>
      </c>
      <c r="Q346" s="163"/>
      <c r="R346" s="125"/>
      <c r="S346" s="124"/>
      <c r="T346" s="205"/>
    </row>
    <row r="347" spans="1:20" x14ac:dyDescent="0.2">
      <c r="A347" s="254" t="s">
        <v>629</v>
      </c>
      <c r="B347" s="254" t="s">
        <v>475</v>
      </c>
      <c r="C347" s="254">
        <v>0.1081</v>
      </c>
      <c r="D347" s="254">
        <v>0.15210000000000001</v>
      </c>
      <c r="E347" s="254">
        <v>0.12839999999999999</v>
      </c>
      <c r="F347" s="256">
        <v>258.06</v>
      </c>
      <c r="G347" s="257">
        <v>2536540240.5180392</v>
      </c>
      <c r="H347" s="257">
        <v>459893048.12834227</v>
      </c>
      <c r="I347" s="257">
        <v>2742</v>
      </c>
      <c r="J347" s="257">
        <v>1290</v>
      </c>
      <c r="K347" s="257">
        <v>6653428.1982913436</v>
      </c>
      <c r="L347" s="257">
        <v>2621428.1982913436</v>
      </c>
      <c r="M347" s="257">
        <v>2621428.1982913436</v>
      </c>
      <c r="Q347" s="163"/>
      <c r="R347" s="125"/>
      <c r="S347" s="124"/>
      <c r="T347" s="205"/>
    </row>
    <row r="348" spans="1:20" x14ac:dyDescent="0.2">
      <c r="A348" s="254" t="s">
        <v>631</v>
      </c>
      <c r="B348" s="254" t="s">
        <v>269</v>
      </c>
      <c r="C348" s="254">
        <v>0.1285</v>
      </c>
      <c r="D348" s="254">
        <v>0.26069999999999999</v>
      </c>
      <c r="E348" s="254">
        <v>0.24160000000000001</v>
      </c>
      <c r="F348" s="256">
        <v>315.26</v>
      </c>
      <c r="G348" s="257">
        <v>1796887159.5330737</v>
      </c>
      <c r="H348" s="257">
        <v>297033645.23193312</v>
      </c>
      <c r="I348" s="257">
        <v>2309</v>
      </c>
      <c r="J348" s="257">
        <v>1492</v>
      </c>
      <c r="K348" s="257">
        <v>4602587.3162441095</v>
      </c>
      <c r="L348" s="257">
        <v>801587.31624410953</v>
      </c>
      <c r="M348" s="257">
        <v>801587.31624410953</v>
      </c>
      <c r="Q348" s="163"/>
      <c r="R348" s="125"/>
      <c r="S348" s="124"/>
      <c r="T348" s="205"/>
    </row>
    <row r="349" spans="1:20" x14ac:dyDescent="0.2">
      <c r="A349" s="254" t="s">
        <v>628</v>
      </c>
      <c r="B349" s="254" t="s">
        <v>153</v>
      </c>
      <c r="C349" s="254">
        <v>0.1031</v>
      </c>
      <c r="D349" s="254">
        <v>0.1414</v>
      </c>
      <c r="E349" s="254">
        <v>0.11219999999999999</v>
      </c>
      <c r="F349" s="256">
        <v>261.94</v>
      </c>
      <c r="G349" s="257">
        <v>2137730358.8748786</v>
      </c>
      <c r="H349" s="257">
        <v>443611987.38170344</v>
      </c>
      <c r="I349" s="257">
        <v>2204</v>
      </c>
      <c r="J349" s="257">
        <v>1125</v>
      </c>
      <c r="K349" s="257">
        <v>5823037.0922536999</v>
      </c>
      <c r="L349" s="257">
        <v>2494037.0922536999</v>
      </c>
      <c r="M349" s="257">
        <v>2494037.0922536999</v>
      </c>
      <c r="Q349" s="163"/>
      <c r="R349" s="125"/>
      <c r="S349" s="124"/>
      <c r="T349" s="205"/>
    </row>
    <row r="350" spans="1:20" x14ac:dyDescent="0.2">
      <c r="A350" s="254" t="s">
        <v>631</v>
      </c>
      <c r="B350" s="254" t="s">
        <v>270</v>
      </c>
      <c r="C350" s="254">
        <v>0.17169999999999999</v>
      </c>
      <c r="D350" s="254">
        <v>0.2382</v>
      </c>
      <c r="E350" s="254">
        <v>0.18479999999999999</v>
      </c>
      <c r="F350" s="256">
        <v>317</v>
      </c>
      <c r="G350" s="257">
        <v>1235876528.8293536</v>
      </c>
      <c r="H350" s="257">
        <v>105910165.48463356</v>
      </c>
      <c r="I350" s="257">
        <v>2122</v>
      </c>
      <c r="J350" s="257">
        <v>448</v>
      </c>
      <c r="K350" s="257">
        <v>2786816.4551123451</v>
      </c>
      <c r="L350" s="257">
        <v>216816.45511234505</v>
      </c>
      <c r="M350" s="257">
        <v>216816.45511234505</v>
      </c>
      <c r="Q350" s="163"/>
      <c r="R350" s="125"/>
      <c r="S350" s="124"/>
      <c r="T350" s="205"/>
    </row>
    <row r="351" spans="1:20" x14ac:dyDescent="0.2">
      <c r="A351" s="254" t="s">
        <v>637</v>
      </c>
      <c r="B351" s="254" t="s">
        <v>821</v>
      </c>
      <c r="C351" s="254">
        <v>0.158</v>
      </c>
      <c r="D351" s="254">
        <v>0.158</v>
      </c>
      <c r="E351" s="254">
        <v>0.1193</v>
      </c>
      <c r="F351" s="256">
        <v>269.62</v>
      </c>
      <c r="G351" s="257">
        <v>1846000000</v>
      </c>
      <c r="H351" s="257">
        <v>532000000</v>
      </c>
      <c r="I351" s="257">
        <v>2916.68</v>
      </c>
      <c r="J351" s="257">
        <v>1475.2359999999999</v>
      </c>
      <c r="K351" s="257">
        <v>5601750</v>
      </c>
      <c r="L351" s="257">
        <v>1209834.0000000002</v>
      </c>
      <c r="M351" s="257">
        <v>1209834.0000000002</v>
      </c>
      <c r="Q351" s="163"/>
      <c r="R351" s="125"/>
      <c r="S351" s="124"/>
      <c r="T351" s="205"/>
    </row>
    <row r="352" spans="1:20" x14ac:dyDescent="0.2">
      <c r="A352" s="254" t="s">
        <v>633</v>
      </c>
      <c r="B352" s="254" t="s">
        <v>396</v>
      </c>
      <c r="C352" s="254">
        <v>0.1215</v>
      </c>
      <c r="D352" s="254">
        <v>0.20860000000000001</v>
      </c>
      <c r="E352" s="254">
        <v>0.15720000000000001</v>
      </c>
      <c r="F352" s="256">
        <v>313.36</v>
      </c>
      <c r="G352" s="257">
        <v>11277366255.144033</v>
      </c>
      <c r="H352" s="257">
        <v>3592400218.6987424</v>
      </c>
      <c r="I352" s="257">
        <v>13702</v>
      </c>
      <c r="J352" s="257">
        <v>13141</v>
      </c>
      <c r="K352" s="257">
        <v>35539670.883142427</v>
      </c>
      <c r="L352" s="257">
        <v>8696670.8831424266</v>
      </c>
      <c r="M352" s="257">
        <v>8696670.8831424266</v>
      </c>
      <c r="Q352" s="163"/>
      <c r="R352" s="125"/>
      <c r="S352" s="124"/>
      <c r="T352" s="205"/>
    </row>
    <row r="353" spans="1:20" x14ac:dyDescent="0.2">
      <c r="A353" s="254" t="s">
        <v>632</v>
      </c>
      <c r="B353" s="254" t="s">
        <v>198</v>
      </c>
      <c r="C353" s="254">
        <v>0.13850000000000001</v>
      </c>
      <c r="D353" s="254">
        <v>0.21029999999999999</v>
      </c>
      <c r="E353" s="254">
        <v>0.20669999999999999</v>
      </c>
      <c r="F353" s="256">
        <v>265.52</v>
      </c>
      <c r="G353" s="257">
        <v>2192779783.3935018</v>
      </c>
      <c r="H353" s="257">
        <v>512949640.28776979</v>
      </c>
      <c r="I353" s="257">
        <v>3037</v>
      </c>
      <c r="J353" s="257">
        <v>2139</v>
      </c>
      <c r="K353" s="257">
        <v>6195957.1981404042</v>
      </c>
      <c r="L353" s="257">
        <v>1019957.1981404042</v>
      </c>
      <c r="M353" s="257">
        <v>1019957.1981404042</v>
      </c>
      <c r="Q353" s="163"/>
      <c r="R353" s="125"/>
      <c r="S353" s="124"/>
      <c r="T353" s="205"/>
    </row>
    <row r="354" spans="1:20" x14ac:dyDescent="0.2">
      <c r="A354" s="254" t="s">
        <v>633</v>
      </c>
      <c r="B354" s="254" t="s">
        <v>397</v>
      </c>
      <c r="C354" s="254">
        <v>9.3899999999999997E-2</v>
      </c>
      <c r="D354" s="254">
        <v>9.3899999999999997E-2</v>
      </c>
      <c r="E354" s="254">
        <v>8.1699999999999995E-2</v>
      </c>
      <c r="F354" s="256">
        <v>289.06</v>
      </c>
      <c r="G354" s="257">
        <v>2011714589.9893506</v>
      </c>
      <c r="H354" s="257">
        <v>292710706.15034175</v>
      </c>
      <c r="I354" s="257">
        <v>1889</v>
      </c>
      <c r="J354" s="257">
        <v>514</v>
      </c>
      <c r="K354" s="257">
        <v>4999486.8044083156</v>
      </c>
      <c r="L354" s="257">
        <v>2596486.8044083156</v>
      </c>
      <c r="M354" s="257">
        <v>2596486.8044083156</v>
      </c>
      <c r="Q354" s="163"/>
      <c r="R354" s="125"/>
      <c r="S354" s="124"/>
      <c r="T354" s="205"/>
    </row>
    <row r="355" spans="1:20" x14ac:dyDescent="0.2">
      <c r="A355" s="254" t="s">
        <v>634</v>
      </c>
      <c r="B355" s="254" t="s">
        <v>220</v>
      </c>
      <c r="C355" s="254">
        <v>0.1086</v>
      </c>
      <c r="D355" s="254">
        <v>0.1158</v>
      </c>
      <c r="E355" s="254">
        <v>9.2600000000000002E-2</v>
      </c>
      <c r="F355" s="256">
        <v>266.82</v>
      </c>
      <c r="G355" s="257">
        <v>2372007366.4825048</v>
      </c>
      <c r="H355" s="257">
        <v>381477927.06333977</v>
      </c>
      <c r="I355" s="257">
        <v>2576</v>
      </c>
      <c r="J355" s="257">
        <v>795</v>
      </c>
      <c r="K355" s="257">
        <v>6034804.1996726794</v>
      </c>
      <c r="L355" s="257">
        <v>2663804.1996726794</v>
      </c>
      <c r="M355" s="257">
        <v>2663804.1996726794</v>
      </c>
      <c r="Q355" s="163"/>
      <c r="R355" s="125"/>
      <c r="S355" s="124"/>
      <c r="T355" s="205"/>
    </row>
    <row r="356" spans="1:20" x14ac:dyDescent="0.2">
      <c r="A356" s="254" t="s">
        <v>631</v>
      </c>
      <c r="B356" s="254" t="s">
        <v>271</v>
      </c>
      <c r="C356" s="254">
        <v>0.1207</v>
      </c>
      <c r="D356" s="254">
        <v>0.22439999999999999</v>
      </c>
      <c r="E356" s="254">
        <v>0.1847</v>
      </c>
      <c r="F356" s="256">
        <v>283.95999999999998</v>
      </c>
      <c r="G356" s="257">
        <v>4056338028.1690145</v>
      </c>
      <c r="H356" s="257">
        <v>782693717.91737962</v>
      </c>
      <c r="I356" s="257">
        <v>4896</v>
      </c>
      <c r="J356" s="257">
        <v>3202</v>
      </c>
      <c r="K356" s="257">
        <v>10821821.518207265</v>
      </c>
      <c r="L356" s="257">
        <v>2723821.5182072651</v>
      </c>
      <c r="M356" s="257">
        <v>2723821.5182072651</v>
      </c>
      <c r="Q356" s="163"/>
      <c r="R356" s="125"/>
      <c r="S356" s="124"/>
      <c r="T356" s="205"/>
    </row>
    <row r="357" spans="1:20" x14ac:dyDescent="0.2">
      <c r="A357" s="254" t="s">
        <v>630</v>
      </c>
      <c r="B357" s="254" t="s">
        <v>342</v>
      </c>
      <c r="C357" s="254">
        <v>0.12839999999999999</v>
      </c>
      <c r="D357" s="254">
        <v>0.2044</v>
      </c>
      <c r="E357" s="254">
        <v>0.1565</v>
      </c>
      <c r="F357" s="256">
        <v>456.23</v>
      </c>
      <c r="G357" s="257">
        <v>3753115264.7975082</v>
      </c>
      <c r="H357" s="257">
        <v>422000554.17013025</v>
      </c>
      <c r="I357" s="257">
        <v>4819</v>
      </c>
      <c r="J357" s="257">
        <v>1523</v>
      </c>
      <c r="K357" s="257">
        <v>8849449.0182902049</v>
      </c>
      <c r="L357" s="257">
        <v>2507449.0182902049</v>
      </c>
      <c r="M357" s="257">
        <v>2507449.0182902049</v>
      </c>
      <c r="Q357" s="163"/>
      <c r="R357" s="125"/>
      <c r="S357" s="124"/>
      <c r="T357" s="205"/>
    </row>
    <row r="358" spans="1:20" x14ac:dyDescent="0.2">
      <c r="A358" s="254" t="s">
        <v>636</v>
      </c>
      <c r="B358" s="254" t="s">
        <v>297</v>
      </c>
      <c r="C358" s="254">
        <v>0.14899999999999999</v>
      </c>
      <c r="D358" s="254">
        <v>0.29120000000000001</v>
      </c>
      <c r="E358" s="254">
        <v>0.1762</v>
      </c>
      <c r="F358" s="256">
        <v>388.68</v>
      </c>
      <c r="G358" s="257">
        <v>2508053691.2751679</v>
      </c>
      <c r="H358" s="257">
        <v>301668806.16174579</v>
      </c>
      <c r="I358" s="257">
        <v>3737</v>
      </c>
      <c r="J358" s="257">
        <v>1410</v>
      </c>
      <c r="K358" s="257">
        <v>5989428.2594274199</v>
      </c>
      <c r="L358" s="257">
        <v>842428.25942741986</v>
      </c>
      <c r="M358" s="257">
        <v>842428.25942741986</v>
      </c>
      <c r="Q358" s="163"/>
      <c r="R358" s="125"/>
      <c r="S358" s="124"/>
      <c r="T358" s="205"/>
    </row>
    <row r="359" spans="1:20" x14ac:dyDescent="0.2">
      <c r="A359" s="254" t="s">
        <v>637</v>
      </c>
      <c r="B359" s="254" t="s">
        <v>177</v>
      </c>
      <c r="C359" s="254">
        <v>0.2112</v>
      </c>
      <c r="D359" s="254">
        <v>0.27860000000000001</v>
      </c>
      <c r="E359" s="254">
        <v>0.2082</v>
      </c>
      <c r="F359" s="256">
        <v>356.15</v>
      </c>
      <c r="G359" s="257">
        <v>971590909.090909</v>
      </c>
      <c r="H359" s="257">
        <v>163927691.04354972</v>
      </c>
      <c r="I359" s="257">
        <v>2052</v>
      </c>
      <c r="J359" s="257">
        <v>798</v>
      </c>
      <c r="K359" s="257">
        <v>2501434.1105176667</v>
      </c>
      <c r="L359" s="257">
        <v>-348565.88948233332</v>
      </c>
      <c r="M359" s="257">
        <v>0</v>
      </c>
      <c r="Q359" s="163"/>
      <c r="R359" s="125"/>
      <c r="S359" s="124"/>
      <c r="T359" s="205"/>
    </row>
    <row r="360" spans="1:20" x14ac:dyDescent="0.2">
      <c r="A360" s="254" t="s">
        <v>631</v>
      </c>
      <c r="B360" s="254" t="s">
        <v>272</v>
      </c>
      <c r="C360" s="254">
        <v>0.1143</v>
      </c>
      <c r="D360" s="254">
        <v>0.2442</v>
      </c>
      <c r="E360" s="254">
        <v>0.19600000000000001</v>
      </c>
      <c r="F360" s="256">
        <v>206.04</v>
      </c>
      <c r="G360" s="257">
        <v>2293088363.9545059</v>
      </c>
      <c r="H360" s="257">
        <v>691503861.88096309</v>
      </c>
      <c r="I360" s="257">
        <v>2621</v>
      </c>
      <c r="J360" s="257">
        <v>3044</v>
      </c>
      <c r="K360" s="257">
        <v>7076484.9688541321</v>
      </c>
      <c r="L360" s="257">
        <v>1411484.9688541321</v>
      </c>
      <c r="M360" s="257">
        <v>1411484.9688541321</v>
      </c>
      <c r="Q360" s="163"/>
      <c r="R360" s="125"/>
      <c r="S360" s="124"/>
      <c r="T360" s="205"/>
    </row>
    <row r="361" spans="1:20" x14ac:dyDescent="0.2">
      <c r="A361" s="254" t="s">
        <v>629</v>
      </c>
      <c r="B361" s="254" t="s">
        <v>476</v>
      </c>
      <c r="C361" s="254">
        <v>0.11269999999999999</v>
      </c>
      <c r="D361" s="254">
        <v>0.16639999999999999</v>
      </c>
      <c r="E361" s="254">
        <v>0.1386</v>
      </c>
      <c r="F361" s="256">
        <v>261.44</v>
      </c>
      <c r="G361" s="257">
        <v>2219165927.2404613</v>
      </c>
      <c r="H361" s="257">
        <v>598032786.88524592</v>
      </c>
      <c r="I361" s="257">
        <v>2501</v>
      </c>
      <c r="J361" s="257">
        <v>1824</v>
      </c>
      <c r="K361" s="257">
        <v>6574320.6394460853</v>
      </c>
      <c r="L361" s="257">
        <v>2249320.6394460853</v>
      </c>
      <c r="M361" s="257">
        <v>2249320.6394460853</v>
      </c>
      <c r="Q361" s="163"/>
      <c r="R361" s="125"/>
      <c r="S361" s="124"/>
      <c r="T361" s="205"/>
    </row>
    <row r="362" spans="1:20" x14ac:dyDescent="0.2">
      <c r="A362" s="254" t="s">
        <v>636</v>
      </c>
      <c r="B362" s="254" t="s">
        <v>298</v>
      </c>
      <c r="C362" s="254">
        <v>0.1202</v>
      </c>
      <c r="D362" s="254">
        <v>0.23680000000000001</v>
      </c>
      <c r="E362" s="254">
        <v>0.17130000000000001</v>
      </c>
      <c r="F362" s="256">
        <v>324.36</v>
      </c>
      <c r="G362" s="257">
        <v>5758735440.9317808</v>
      </c>
      <c r="H362" s="257">
        <v>1019603038.4709629</v>
      </c>
      <c r="I362" s="257">
        <v>6922</v>
      </c>
      <c r="J362" s="257">
        <v>4161</v>
      </c>
      <c r="K362" s="257">
        <v>15011037.421906885</v>
      </c>
      <c r="L362" s="257">
        <v>3928037.4219068848</v>
      </c>
      <c r="M362" s="257">
        <v>3928037.4219068848</v>
      </c>
      <c r="Q362" s="163"/>
      <c r="R362" s="125"/>
      <c r="S362" s="124"/>
      <c r="T362" s="205"/>
    </row>
    <row r="363" spans="1:20" x14ac:dyDescent="0.2">
      <c r="A363" s="254" t="s">
        <v>630</v>
      </c>
      <c r="B363" s="254" t="s">
        <v>343</v>
      </c>
      <c r="C363" s="254">
        <v>0.1303</v>
      </c>
      <c r="D363" s="254">
        <v>0.18579999999999999</v>
      </c>
      <c r="E363" s="254">
        <v>0.15609999999999999</v>
      </c>
      <c r="F363" s="256">
        <v>306.47000000000003</v>
      </c>
      <c r="G363" s="257">
        <v>1611665387.5671527</v>
      </c>
      <c r="H363" s="257">
        <v>257677683.53319687</v>
      </c>
      <c r="I363" s="257">
        <v>2100</v>
      </c>
      <c r="J363" s="257">
        <v>881</v>
      </c>
      <c r="K363" s="257">
        <v>4094514.9526695772</v>
      </c>
      <c r="L363" s="257">
        <v>1113514.9526695772</v>
      </c>
      <c r="M363" s="257">
        <v>1113514.9526695772</v>
      </c>
      <c r="Q363" s="163"/>
      <c r="R363" s="125"/>
      <c r="S363" s="124"/>
      <c r="T363" s="205"/>
    </row>
    <row r="364" spans="1:20" x14ac:dyDescent="0.2">
      <c r="A364" s="254" t="s">
        <v>636</v>
      </c>
      <c r="B364" s="254" t="s">
        <v>299</v>
      </c>
      <c r="C364" s="254">
        <v>0.11799999999999999</v>
      </c>
      <c r="D364" s="254">
        <v>0.1699</v>
      </c>
      <c r="E364" s="254">
        <v>0.13639999999999999</v>
      </c>
      <c r="F364" s="256">
        <v>338.71</v>
      </c>
      <c r="G364" s="257">
        <v>1406779661.0169494</v>
      </c>
      <c r="H364" s="257">
        <v>214822069.8661443</v>
      </c>
      <c r="I364" s="257">
        <v>1660</v>
      </c>
      <c r="J364" s="257">
        <v>658</v>
      </c>
      <c r="K364" s="257">
        <v>3535115.8164422833</v>
      </c>
      <c r="L364" s="257">
        <v>1217115.8164422833</v>
      </c>
      <c r="M364" s="257">
        <v>1217115.8164422833</v>
      </c>
      <c r="Q364" s="163"/>
      <c r="R364" s="125"/>
      <c r="S364" s="124"/>
      <c r="T364" s="205"/>
    </row>
    <row r="365" spans="1:20" x14ac:dyDescent="0.2">
      <c r="A365" s="254" t="s">
        <v>629</v>
      </c>
      <c r="B365" s="254" t="s">
        <v>477</v>
      </c>
      <c r="C365" s="254">
        <v>0.112</v>
      </c>
      <c r="D365" s="254">
        <v>0.2087</v>
      </c>
      <c r="E365" s="254">
        <v>0.16420000000000001</v>
      </c>
      <c r="F365" s="256">
        <v>278.63</v>
      </c>
      <c r="G365" s="257">
        <v>1449107142.8571427</v>
      </c>
      <c r="H365" s="257">
        <v>268972914.99061412</v>
      </c>
      <c r="I365" s="257">
        <v>1623</v>
      </c>
      <c r="J365" s="257">
        <v>1003</v>
      </c>
      <c r="K365" s="257">
        <v>3825076.9727138639</v>
      </c>
      <c r="L365" s="257">
        <v>1199076.9727138639</v>
      </c>
      <c r="M365" s="257">
        <v>1199076.9727138639</v>
      </c>
      <c r="Q365" s="163"/>
      <c r="R365" s="125"/>
      <c r="S365" s="124"/>
      <c r="T365" s="205"/>
    </row>
    <row r="366" spans="1:20" x14ac:dyDescent="0.2">
      <c r="A366" s="254" t="s">
        <v>630</v>
      </c>
      <c r="B366" s="254" t="s">
        <v>344</v>
      </c>
      <c r="C366" s="254">
        <v>0.1343</v>
      </c>
      <c r="D366" s="254">
        <v>0.33150000000000002</v>
      </c>
      <c r="E366" s="254">
        <v>0.2591</v>
      </c>
      <c r="F366" s="256">
        <v>272.32</v>
      </c>
      <c r="G366" s="257">
        <v>13879374534.623976</v>
      </c>
      <c r="H366" s="257">
        <v>3078056214.0196409</v>
      </c>
      <c r="I366" s="257">
        <v>18640</v>
      </c>
      <c r="J366" s="257">
        <v>18179</v>
      </c>
      <c r="K366" s="257">
        <v>38568312.403126776</v>
      </c>
      <c r="L366" s="257">
        <v>1749312.4031267762</v>
      </c>
      <c r="M366" s="257">
        <v>1749312.4031267762</v>
      </c>
      <c r="Q366" s="163"/>
      <c r="R366" s="125"/>
      <c r="S366" s="124"/>
      <c r="T366" s="205"/>
    </row>
    <row r="367" spans="1:20" x14ac:dyDescent="0.2">
      <c r="A367" s="254" t="s">
        <v>631</v>
      </c>
      <c r="B367" s="254" t="s">
        <v>273</v>
      </c>
      <c r="C367" s="254">
        <v>0.11890000000000001</v>
      </c>
      <c r="D367" s="254">
        <v>0.2666</v>
      </c>
      <c r="E367" s="254">
        <v>0.22700000000000001</v>
      </c>
      <c r="F367" s="256">
        <v>291.02</v>
      </c>
      <c r="G367" s="257">
        <v>2724978973.9276705</v>
      </c>
      <c r="H367" s="257">
        <v>623379254.4570502</v>
      </c>
      <c r="I367" s="257">
        <v>3240</v>
      </c>
      <c r="J367" s="257">
        <v>3077</v>
      </c>
      <c r="K367" s="257">
        <v>7645594.6544704093</v>
      </c>
      <c r="L367" s="257">
        <v>1328594.6544704093</v>
      </c>
      <c r="M367" s="257">
        <v>1328594.6544704093</v>
      </c>
      <c r="Q367" s="163"/>
      <c r="R367" s="125"/>
      <c r="S367" s="124"/>
      <c r="T367" s="205"/>
    </row>
    <row r="368" spans="1:20" x14ac:dyDescent="0.2">
      <c r="A368" s="254" t="s">
        <v>630</v>
      </c>
      <c r="B368" s="254" t="s">
        <v>345</v>
      </c>
      <c r="C368" s="254">
        <v>0.1095</v>
      </c>
      <c r="D368" s="254">
        <v>0.22770000000000001</v>
      </c>
      <c r="E368" s="254">
        <v>0.13089999999999999</v>
      </c>
      <c r="F368" s="256">
        <v>307.57</v>
      </c>
      <c r="G368" s="257">
        <v>2602739726.0273972</v>
      </c>
      <c r="H368" s="257">
        <v>347462353.59732288</v>
      </c>
      <c r="I368" s="257">
        <v>2850</v>
      </c>
      <c r="J368" s="257">
        <v>1246</v>
      </c>
      <c r="K368" s="257">
        <v>6348004.0339524336</v>
      </c>
      <c r="L368" s="257">
        <v>2252004.0339524336</v>
      </c>
      <c r="M368" s="257">
        <v>2252004.0339524336</v>
      </c>
      <c r="Q368" s="163"/>
      <c r="R368" s="125"/>
      <c r="S368" s="124"/>
      <c r="T368" s="205"/>
    </row>
    <row r="369" spans="1:20" x14ac:dyDescent="0.2">
      <c r="A369" s="254" t="s">
        <v>633</v>
      </c>
      <c r="B369" s="254" t="s">
        <v>398</v>
      </c>
      <c r="C369" s="254">
        <v>0.1212</v>
      </c>
      <c r="D369" s="254">
        <v>0.2064</v>
      </c>
      <c r="E369" s="254">
        <v>0.1603</v>
      </c>
      <c r="F369" s="256">
        <v>316.45</v>
      </c>
      <c r="G369" s="257">
        <v>1401815181.5181518</v>
      </c>
      <c r="H369" s="257">
        <v>306790291.7916553</v>
      </c>
      <c r="I369" s="257">
        <v>1699</v>
      </c>
      <c r="J369" s="257">
        <v>1125</v>
      </c>
      <c r="K369" s="257">
        <v>3879636.8478203155</v>
      </c>
      <c r="L369" s="257">
        <v>1055636.8478203155</v>
      </c>
      <c r="M369" s="257">
        <v>1055636.8478203155</v>
      </c>
      <c r="Q369" s="163"/>
      <c r="R369" s="125"/>
      <c r="S369" s="124"/>
      <c r="T369" s="205"/>
    </row>
    <row r="370" spans="1:20" x14ac:dyDescent="0.2">
      <c r="A370" s="254" t="s">
        <v>635</v>
      </c>
      <c r="B370" s="254" t="s">
        <v>516</v>
      </c>
      <c r="C370" s="254">
        <v>0.1196</v>
      </c>
      <c r="D370" s="254">
        <v>0.17100000000000001</v>
      </c>
      <c r="E370" s="254">
        <v>0.1361</v>
      </c>
      <c r="F370" s="256">
        <v>288.98</v>
      </c>
      <c r="G370" s="257">
        <v>2037625418.0602007</v>
      </c>
      <c r="H370" s="257">
        <v>839465971.99609232</v>
      </c>
      <c r="I370" s="257">
        <v>2437</v>
      </c>
      <c r="J370" s="257">
        <v>2578</v>
      </c>
      <c r="K370" s="257">
        <v>7154372.9219508423</v>
      </c>
      <c r="L370" s="257">
        <v>2139372.9219508423</v>
      </c>
      <c r="M370" s="257">
        <v>2139372.9219508423</v>
      </c>
      <c r="Q370" s="163"/>
      <c r="R370" s="125"/>
      <c r="S370" s="124"/>
      <c r="T370" s="205"/>
    </row>
    <row r="371" spans="1:20" x14ac:dyDescent="0.2">
      <c r="A371" s="254" t="s">
        <v>636</v>
      </c>
      <c r="B371" s="254" t="s">
        <v>300</v>
      </c>
      <c r="C371" s="254">
        <v>7.7200000000000005E-2</v>
      </c>
      <c r="D371" s="254">
        <v>0.18479999999999999</v>
      </c>
      <c r="E371" s="254">
        <v>0.14510000000000001</v>
      </c>
      <c r="F371" s="256">
        <v>240.64</v>
      </c>
      <c r="G371" s="257">
        <v>8531088082.9015541</v>
      </c>
      <c r="H371" s="257">
        <v>1566232191.573204</v>
      </c>
      <c r="I371" s="257">
        <v>6586</v>
      </c>
      <c r="J371" s="257">
        <v>5167</v>
      </c>
      <c r="K371" s="257">
        <v>22452338.49714233</v>
      </c>
      <c r="L371" s="257">
        <v>10699338.49714233</v>
      </c>
      <c r="M371" s="257">
        <v>10699338.49714233</v>
      </c>
      <c r="Q371" s="163"/>
      <c r="R371" s="125"/>
      <c r="S371" s="124"/>
      <c r="T371" s="205"/>
    </row>
    <row r="372" spans="1:20" x14ac:dyDescent="0.2">
      <c r="A372" s="254" t="s">
        <v>631</v>
      </c>
      <c r="B372" s="254" t="s">
        <v>274</v>
      </c>
      <c r="C372" s="254">
        <v>0.1731</v>
      </c>
      <c r="D372" s="254">
        <v>0.28989999999999999</v>
      </c>
      <c r="E372" s="254">
        <v>0.21029999999999999</v>
      </c>
      <c r="F372" s="256">
        <v>317.25</v>
      </c>
      <c r="G372" s="257">
        <v>3532000000</v>
      </c>
      <c r="H372" s="257">
        <v>847000000</v>
      </c>
      <c r="I372" s="257">
        <v>6113.8919999999998</v>
      </c>
      <c r="J372" s="257">
        <v>4236.6939999999995</v>
      </c>
      <c r="K372" s="257">
        <v>10060050</v>
      </c>
      <c r="L372" s="257">
        <v>-290535.99999999907</v>
      </c>
      <c r="M372" s="257">
        <v>0</v>
      </c>
      <c r="Q372" s="163"/>
      <c r="R372" s="125"/>
      <c r="S372" s="124"/>
      <c r="T372" s="205"/>
    </row>
    <row r="373" spans="1:20" x14ac:dyDescent="0.2">
      <c r="A373" s="254" t="s">
        <v>633</v>
      </c>
      <c r="B373" s="254" t="s">
        <v>399</v>
      </c>
      <c r="C373" s="254">
        <v>0.1794</v>
      </c>
      <c r="D373" s="254">
        <v>0.40989999999999999</v>
      </c>
      <c r="E373" s="254">
        <v>0.31859999999999999</v>
      </c>
      <c r="F373" s="256">
        <v>357.05</v>
      </c>
      <c r="G373" s="257">
        <v>11011148272.017838</v>
      </c>
      <c r="H373" s="257">
        <v>1593136582.0178452</v>
      </c>
      <c r="I373" s="257">
        <v>19754</v>
      </c>
      <c r="J373" s="257">
        <v>11606</v>
      </c>
      <c r="K373" s="257">
        <v>27330036.264403045</v>
      </c>
      <c r="L373" s="257">
        <v>-4029963.7355969548</v>
      </c>
      <c r="M373" s="257">
        <v>0</v>
      </c>
      <c r="Q373" s="163"/>
      <c r="R373" s="125"/>
      <c r="S373" s="124"/>
      <c r="T373" s="205"/>
    </row>
    <row r="374" spans="1:20" x14ac:dyDescent="0.2">
      <c r="A374" s="254" t="s">
        <v>633</v>
      </c>
      <c r="B374" s="254" t="s">
        <v>400</v>
      </c>
      <c r="C374" s="254">
        <v>0.1171</v>
      </c>
      <c r="D374" s="254">
        <v>0.38169999999999998</v>
      </c>
      <c r="E374" s="254">
        <v>0.22639999999999999</v>
      </c>
      <c r="F374" s="256">
        <v>332.26</v>
      </c>
      <c r="G374" s="257">
        <v>1015371477.3697695</v>
      </c>
      <c r="H374" s="257">
        <v>414734418.68113798</v>
      </c>
      <c r="I374" s="257">
        <v>1189</v>
      </c>
      <c r="J374" s="257">
        <v>2522</v>
      </c>
      <c r="K374" s="257">
        <v>3551317.6058591874</v>
      </c>
      <c r="L374" s="257">
        <v>-159682.39414081257</v>
      </c>
      <c r="M374" s="257">
        <v>0</v>
      </c>
      <c r="Q374" s="163"/>
      <c r="R374" s="125"/>
      <c r="S374" s="124"/>
      <c r="T374" s="205"/>
    </row>
    <row r="375" spans="1:20" x14ac:dyDescent="0.2">
      <c r="A375" s="254" t="s">
        <v>637</v>
      </c>
      <c r="B375" s="254" t="s">
        <v>178</v>
      </c>
      <c r="C375" s="254">
        <v>0.16159999999999999</v>
      </c>
      <c r="D375" s="254">
        <v>0.25600000000000001</v>
      </c>
      <c r="E375" s="254">
        <v>0.19839999999999999</v>
      </c>
      <c r="F375" s="256">
        <v>315.79000000000002</v>
      </c>
      <c r="G375" s="257">
        <v>1482054455.4455445</v>
      </c>
      <c r="H375" s="257">
        <v>546214788.73239434</v>
      </c>
      <c r="I375" s="257">
        <v>2395</v>
      </c>
      <c r="J375" s="257">
        <v>2482</v>
      </c>
      <c r="K375" s="257">
        <v>4955881.7633523913</v>
      </c>
      <c r="L375" s="257">
        <v>78881.76335239131</v>
      </c>
      <c r="M375" s="257">
        <v>78881.76335239131</v>
      </c>
      <c r="Q375" s="163"/>
      <c r="R375" s="125"/>
      <c r="S375" s="124"/>
      <c r="T375" s="205"/>
    </row>
    <row r="376" spans="1:20" x14ac:dyDescent="0.2">
      <c r="A376" s="254" t="s">
        <v>633</v>
      </c>
      <c r="B376" s="254" t="s">
        <v>401</v>
      </c>
      <c r="C376" s="254">
        <v>0.12239999999999999</v>
      </c>
      <c r="D376" s="254">
        <v>0.17879999999999999</v>
      </c>
      <c r="E376" s="254">
        <v>0.13420000000000001</v>
      </c>
      <c r="F376" s="256">
        <v>294.42</v>
      </c>
      <c r="G376" s="257">
        <v>4184640522.8758168</v>
      </c>
      <c r="H376" s="257">
        <v>947923322.68370605</v>
      </c>
      <c r="I376" s="257">
        <v>5122</v>
      </c>
      <c r="J376" s="257">
        <v>2967</v>
      </c>
      <c r="K376" s="257">
        <v>11704937.798868217</v>
      </c>
      <c r="L376" s="257">
        <v>3615937.7988682166</v>
      </c>
      <c r="M376" s="257">
        <v>3615937.7988682166</v>
      </c>
      <c r="Q376" s="163"/>
      <c r="R376" s="125"/>
      <c r="S376" s="124"/>
      <c r="T376" s="205"/>
    </row>
    <row r="377" spans="1:20" x14ac:dyDescent="0.2">
      <c r="A377" s="254" t="s">
        <v>629</v>
      </c>
      <c r="B377" s="254" t="s">
        <v>478</v>
      </c>
      <c r="C377" s="254">
        <v>0.12540000000000001</v>
      </c>
      <c r="D377" s="254">
        <v>0.17330000000000001</v>
      </c>
      <c r="E377" s="254">
        <v>0.1386</v>
      </c>
      <c r="F377" s="256">
        <v>351.47</v>
      </c>
      <c r="G377" s="257">
        <v>2477671451.3556619</v>
      </c>
      <c r="H377" s="257">
        <v>480282141.71208715</v>
      </c>
      <c r="I377" s="257">
        <v>3107</v>
      </c>
      <c r="J377" s="257">
        <v>1498</v>
      </c>
      <c r="K377" s="257">
        <v>6618603.7894511856</v>
      </c>
      <c r="L377" s="257">
        <v>2013603.7894511856</v>
      </c>
      <c r="M377" s="257">
        <v>2013603.7894511856</v>
      </c>
      <c r="Q377" s="163"/>
      <c r="R377" s="125"/>
      <c r="S377" s="124"/>
      <c r="T377" s="205"/>
    </row>
    <row r="378" spans="1:20" x14ac:dyDescent="0.2">
      <c r="A378" s="254" t="s">
        <v>631</v>
      </c>
      <c r="B378" s="254" t="s">
        <v>275</v>
      </c>
      <c r="C378" s="254">
        <v>0.12620000000000001</v>
      </c>
      <c r="D378" s="254">
        <v>0.23300000000000001</v>
      </c>
      <c r="E378" s="254">
        <v>0.20100000000000001</v>
      </c>
      <c r="F378" s="256">
        <v>239.39</v>
      </c>
      <c r="G378" s="257">
        <v>4075277337.5594292</v>
      </c>
      <c r="H378" s="257">
        <v>1006912442.3963133</v>
      </c>
      <c r="I378" s="257">
        <v>5143</v>
      </c>
      <c r="J378" s="257">
        <v>4370</v>
      </c>
      <c r="K378" s="257">
        <v>11721521.778027708</v>
      </c>
      <c r="L378" s="257">
        <v>2208521.7780277077</v>
      </c>
      <c r="M378" s="257">
        <v>2208521.7780277077</v>
      </c>
      <c r="Q378" s="163"/>
      <c r="R378" s="125"/>
      <c r="S378" s="124"/>
      <c r="T378" s="205"/>
    </row>
    <row r="379" spans="1:20" x14ac:dyDescent="0.2">
      <c r="A379" s="254" t="s">
        <v>634</v>
      </c>
      <c r="B379" s="254" t="s">
        <v>221</v>
      </c>
      <c r="C379" s="254">
        <v>0.1144</v>
      </c>
      <c r="D379" s="254">
        <v>0.22500000000000001</v>
      </c>
      <c r="E379" s="254">
        <v>0.16769999999999999</v>
      </c>
      <c r="F379" s="256">
        <v>228.21</v>
      </c>
      <c r="G379" s="257">
        <v>1719405594.4055943</v>
      </c>
      <c r="H379" s="257">
        <v>632034632.03463209</v>
      </c>
      <c r="I379" s="257">
        <v>1967</v>
      </c>
      <c r="J379" s="257">
        <v>2482</v>
      </c>
      <c r="K379" s="257">
        <v>5743189.102564102</v>
      </c>
      <c r="L379" s="257">
        <v>1294189.102564102</v>
      </c>
      <c r="M379" s="257">
        <v>1294189.102564102</v>
      </c>
      <c r="Q379" s="163"/>
      <c r="R379" s="125"/>
      <c r="S379" s="124"/>
      <c r="T379" s="205"/>
    </row>
    <row r="380" spans="1:20" x14ac:dyDescent="0.2">
      <c r="A380" s="254" t="s">
        <v>633</v>
      </c>
      <c r="B380" s="254" t="s">
        <v>402</v>
      </c>
      <c r="C380" s="254">
        <v>0.12790000000000001</v>
      </c>
      <c r="D380" s="254">
        <v>0.31850000000000001</v>
      </c>
      <c r="E380" s="254">
        <v>0.26</v>
      </c>
      <c r="F380" s="256">
        <v>231.43</v>
      </c>
      <c r="G380" s="257">
        <v>3727912431.5871768</v>
      </c>
      <c r="H380" s="257">
        <v>880034572.16940355</v>
      </c>
      <c r="I380" s="257">
        <v>4768</v>
      </c>
      <c r="J380" s="257">
        <v>5091</v>
      </c>
      <c r="K380" s="257">
        <v>10564364.533657519</v>
      </c>
      <c r="L380" s="257">
        <v>705364.53365751915</v>
      </c>
      <c r="M380" s="257">
        <v>705364.53365751915</v>
      </c>
      <c r="Q380" s="163"/>
      <c r="R380" s="125"/>
      <c r="S380" s="124"/>
      <c r="T380" s="205"/>
    </row>
    <row r="381" spans="1:20" x14ac:dyDescent="0.2">
      <c r="A381" s="254" t="s">
        <v>634</v>
      </c>
      <c r="B381" s="254" t="s">
        <v>222</v>
      </c>
      <c r="C381" s="254">
        <v>0.12770000000000001</v>
      </c>
      <c r="D381" s="254">
        <v>0.37030000000000002</v>
      </c>
      <c r="E381" s="254">
        <v>0.2994</v>
      </c>
      <c r="F381" s="256">
        <v>274.64999999999998</v>
      </c>
      <c r="G381" s="257">
        <v>12251370399.373529</v>
      </c>
      <c r="H381" s="257">
        <v>3872181573.8390326</v>
      </c>
      <c r="I381" s="257">
        <v>15645</v>
      </c>
      <c r="J381" s="257">
        <v>25932</v>
      </c>
      <c r="K381" s="257">
        <v>38491787.078074321</v>
      </c>
      <c r="L381" s="257">
        <v>-3085212.9219256788</v>
      </c>
      <c r="M381" s="257">
        <v>0</v>
      </c>
      <c r="Q381" s="163"/>
      <c r="R381" s="125"/>
      <c r="S381" s="124"/>
      <c r="T381" s="205"/>
    </row>
    <row r="382" spans="1:20" x14ac:dyDescent="0.2">
      <c r="A382" s="254"/>
      <c r="B382" s="254" t="s">
        <v>527</v>
      </c>
      <c r="C382" s="254"/>
      <c r="D382" s="254"/>
      <c r="E382" s="254"/>
      <c r="F382" s="256">
        <f>AVERAGE(F2:F381)</f>
        <v>299.29131578947374</v>
      </c>
      <c r="L382" s="257">
        <f>SUM(L2:L381)</f>
        <v>927991551.77451897</v>
      </c>
      <c r="M382" s="257">
        <f>IF(L382&lt;0,0,L382)</f>
        <v>927991551.77451897</v>
      </c>
      <c r="Q382" s="163"/>
      <c r="R382" s="125"/>
      <c r="S382" s="124"/>
      <c r="T382" s="205"/>
    </row>
    <row r="383" spans="1:20" x14ac:dyDescent="0.2">
      <c r="A383" s="254"/>
      <c r="B383" s="254"/>
      <c r="C383" s="254"/>
      <c r="D383" s="254"/>
      <c r="E383" s="254"/>
      <c r="Q383" s="163"/>
      <c r="R383" s="125"/>
      <c r="S383" s="124"/>
      <c r="T383" s="205"/>
    </row>
    <row r="384" spans="1:20" x14ac:dyDescent="0.2">
      <c r="A384" s="254"/>
      <c r="B384" s="254"/>
      <c r="C384" s="254"/>
      <c r="D384" s="254"/>
      <c r="E384" s="254"/>
      <c r="Q384" s="163"/>
      <c r="R384" s="125"/>
      <c r="S384" s="124"/>
      <c r="T384" s="205"/>
    </row>
    <row r="385" spans="1:20" x14ac:dyDescent="0.2">
      <c r="A385" s="254"/>
      <c r="B385" s="254"/>
      <c r="C385" s="254"/>
      <c r="D385" s="254"/>
      <c r="E385" s="254"/>
      <c r="Q385" s="163"/>
      <c r="R385" s="125"/>
      <c r="S385" s="124"/>
      <c r="T385" s="205"/>
    </row>
    <row r="386" spans="1:20" x14ac:dyDescent="0.2">
      <c r="A386" s="254"/>
      <c r="B386" s="254"/>
      <c r="C386" s="254"/>
      <c r="D386" s="254"/>
      <c r="E386" s="254"/>
      <c r="Q386" s="163"/>
      <c r="R386" s="125"/>
      <c r="S386" s="124"/>
      <c r="T386" s="205"/>
    </row>
    <row r="387" spans="1:20" x14ac:dyDescent="0.2">
      <c r="A387" s="254"/>
      <c r="B387" s="254"/>
      <c r="C387" s="254"/>
      <c r="D387" s="254"/>
      <c r="E387" s="254"/>
      <c r="Q387" s="163"/>
      <c r="R387" s="125"/>
      <c r="S387" s="124"/>
      <c r="T387" s="205"/>
    </row>
    <row r="388" spans="1:20" x14ac:dyDescent="0.2">
      <c r="A388" s="254"/>
      <c r="B388" s="254"/>
      <c r="C388" s="254"/>
      <c r="D388" s="254"/>
      <c r="E388" s="254"/>
      <c r="Q388" s="163"/>
      <c r="R388" s="125"/>
      <c r="S388" s="124"/>
      <c r="T388" s="205"/>
    </row>
    <row r="389" spans="1:20" x14ac:dyDescent="0.2">
      <c r="A389" s="254"/>
      <c r="B389" s="254"/>
      <c r="C389" s="254"/>
      <c r="D389" s="254"/>
      <c r="E389" s="254"/>
      <c r="Q389" s="163"/>
      <c r="R389" s="125"/>
      <c r="S389" s="124"/>
      <c r="T389" s="205"/>
    </row>
    <row r="390" spans="1:20" x14ac:dyDescent="0.2">
      <c r="A390" s="254"/>
      <c r="B390" s="254"/>
      <c r="C390" s="254"/>
      <c r="D390" s="254"/>
      <c r="E390" s="254"/>
      <c r="Q390" s="163"/>
      <c r="R390" s="125"/>
      <c r="S390" s="124"/>
    </row>
    <row r="391" spans="1:20" x14ac:dyDescent="0.2">
      <c r="A391" s="254"/>
      <c r="B391" s="254"/>
      <c r="C391" s="254"/>
      <c r="D391" s="254"/>
      <c r="E391" s="254"/>
      <c r="R391" s="125"/>
      <c r="S391" s="124"/>
    </row>
    <row r="392" spans="1:20" x14ac:dyDescent="0.2">
      <c r="A392" s="254"/>
      <c r="B392" s="254"/>
      <c r="C392" s="254"/>
      <c r="D392" s="254"/>
      <c r="E392" s="254"/>
      <c r="R392" s="125"/>
      <c r="S392" s="124"/>
    </row>
    <row r="393" spans="1:20" x14ac:dyDescent="0.2">
      <c r="A393" s="254"/>
      <c r="B393" s="254"/>
      <c r="C393" s="254"/>
      <c r="D393" s="254"/>
      <c r="E393" s="254"/>
      <c r="R393" s="125"/>
      <c r="S393" s="124"/>
    </row>
    <row r="394" spans="1:20" x14ac:dyDescent="0.2">
      <c r="A394" s="254"/>
      <c r="B394" s="254"/>
      <c r="C394" s="254"/>
      <c r="D394" s="254"/>
      <c r="E394" s="254"/>
      <c r="R394" s="125"/>
      <c r="S394" s="124"/>
    </row>
    <row r="395" spans="1:20" x14ac:dyDescent="0.2">
      <c r="A395" s="254"/>
      <c r="B395" s="254"/>
      <c r="C395" s="254"/>
      <c r="D395" s="254"/>
      <c r="E395" s="254"/>
      <c r="R395" s="125"/>
    </row>
    <row r="396" spans="1:20" x14ac:dyDescent="0.2">
      <c r="A396" s="254"/>
      <c r="B396" s="254"/>
      <c r="C396" s="254"/>
      <c r="D396" s="254"/>
      <c r="E396" s="254"/>
      <c r="R396" s="125"/>
    </row>
    <row r="397" spans="1:20" x14ac:dyDescent="0.2">
      <c r="A397" s="254"/>
      <c r="B397" s="254"/>
      <c r="C397" s="254"/>
      <c r="D397" s="254"/>
      <c r="E397" s="254"/>
      <c r="R397" s="125"/>
    </row>
    <row r="398" spans="1:20" x14ac:dyDescent="0.2">
      <c r="A398" s="254"/>
      <c r="B398" s="254"/>
      <c r="C398" s="254"/>
      <c r="D398" s="254"/>
      <c r="E398" s="254"/>
      <c r="R398" s="125"/>
    </row>
    <row r="399" spans="1:20" x14ac:dyDescent="0.2">
      <c r="A399" s="254"/>
      <c r="B399" s="254"/>
      <c r="C399" s="254"/>
      <c r="D399" s="254"/>
      <c r="E399" s="254"/>
      <c r="R399" s="125"/>
    </row>
    <row r="400" spans="1:20" x14ac:dyDescent="0.2">
      <c r="A400" s="254"/>
      <c r="B400" s="254"/>
      <c r="C400" s="254"/>
      <c r="D400" s="254"/>
      <c r="E400" s="254"/>
      <c r="R400" s="125"/>
    </row>
    <row r="401" spans="1:20" x14ac:dyDescent="0.2">
      <c r="A401" s="254"/>
      <c r="B401" s="254"/>
      <c r="C401" s="254"/>
      <c r="D401" s="254"/>
      <c r="E401" s="254"/>
      <c r="R401" s="125"/>
    </row>
    <row r="402" spans="1:20" x14ac:dyDescent="0.2">
      <c r="A402" s="254"/>
      <c r="B402" s="254"/>
      <c r="C402" s="254"/>
      <c r="D402" s="254"/>
      <c r="E402" s="254"/>
      <c r="R402" s="125"/>
    </row>
    <row r="403" spans="1:20" x14ac:dyDescent="0.2">
      <c r="A403" s="254"/>
      <c r="B403" s="254"/>
      <c r="C403" s="254"/>
      <c r="D403" s="254"/>
      <c r="E403" s="254"/>
      <c r="R403" s="125"/>
    </row>
    <row r="406" spans="1:20" x14ac:dyDescent="0.2">
      <c r="A406" s="254"/>
      <c r="B406" s="254"/>
      <c r="C406" s="254"/>
      <c r="D406" s="254"/>
      <c r="E406" s="254"/>
      <c r="P406" s="203"/>
      <c r="Q406" s="202"/>
      <c r="R406" s="125"/>
    </row>
    <row r="407" spans="1:20" x14ac:dyDescent="0.2">
      <c r="A407" s="254"/>
      <c r="B407" s="254"/>
      <c r="C407" s="254"/>
      <c r="D407" s="254"/>
      <c r="E407" s="254"/>
      <c r="Q407" s="163"/>
      <c r="R407" s="125"/>
      <c r="S407" s="124"/>
      <c r="T407" s="205"/>
    </row>
    <row r="408" spans="1:20" x14ac:dyDescent="0.2">
      <c r="A408" s="254"/>
      <c r="B408" s="254"/>
      <c r="C408" s="254"/>
      <c r="D408" s="254"/>
      <c r="E408" s="254"/>
      <c r="Q408" s="163"/>
      <c r="R408" s="125"/>
      <c r="S408" s="124"/>
      <c r="T408" s="205"/>
    </row>
    <row r="409" spans="1:20" x14ac:dyDescent="0.2">
      <c r="A409" s="254"/>
      <c r="B409" s="254"/>
      <c r="C409" s="254"/>
      <c r="D409" s="254"/>
      <c r="E409" s="254"/>
      <c r="Q409" s="163"/>
      <c r="R409" s="125"/>
      <c r="S409" s="124"/>
      <c r="T409" s="205"/>
    </row>
    <row r="410" spans="1:20" x14ac:dyDescent="0.2">
      <c r="A410" s="254"/>
      <c r="B410" s="254"/>
      <c r="C410" s="254"/>
      <c r="D410" s="254"/>
      <c r="E410" s="254"/>
    </row>
    <row r="413" spans="1:20" x14ac:dyDescent="0.2">
      <c r="A413" s="254"/>
      <c r="B413" s="254"/>
      <c r="C413" s="254"/>
      <c r="D413" s="254"/>
      <c r="E413" s="254"/>
    </row>
  </sheetData>
  <sheetProtection algorithmName="SHA-512" hashValue="CkmvIEeB3ABox95Dt7yjPCMyWn7ycKqiZp3yKbiYOQVVqzp47gs7ddKQhVeEzwWK3b8VkG1xTCxojbPdlqBmjA==" saltValue="KQ8hRzCVuLjen5Dl+J2so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19"/>
  <sheetViews>
    <sheetView workbookViewId="0">
      <selection activeCell="J382" sqref="J382"/>
    </sheetView>
  </sheetViews>
  <sheetFormatPr defaultColWidth="9.140625" defaultRowHeight="11.25" x14ac:dyDescent="0.2"/>
  <cols>
    <col min="1" max="1" width="4.42578125" style="125" bestFit="1" customWidth="1"/>
    <col min="2" max="2" width="26.140625" style="125" bestFit="1" customWidth="1"/>
    <col min="3" max="3" width="19.28515625" style="125" bestFit="1" customWidth="1"/>
    <col min="4" max="4" width="19.7109375" style="125" bestFit="1" customWidth="1"/>
    <col min="5" max="5" width="26" style="125" bestFit="1" customWidth="1"/>
    <col min="6" max="6" width="12" style="125" bestFit="1" customWidth="1"/>
    <col min="7" max="7" width="12" style="125" customWidth="1"/>
    <col min="8" max="8" width="22" style="125" bestFit="1" customWidth="1"/>
    <col min="9" max="9" width="25.28515625" style="125" bestFit="1" customWidth="1"/>
    <col min="10" max="10" width="20.7109375" style="125" bestFit="1" customWidth="1"/>
    <col min="11" max="11" width="17.140625" style="125" bestFit="1" customWidth="1"/>
    <col min="12" max="12" width="17.7109375" style="125" bestFit="1" customWidth="1"/>
    <col min="13" max="13" width="17.140625" style="125" bestFit="1" customWidth="1"/>
    <col min="14" max="14" width="17.7109375" style="125" bestFit="1" customWidth="1"/>
    <col min="15" max="15" width="17.140625" style="125" bestFit="1" customWidth="1"/>
    <col min="16" max="16" width="17.7109375" style="125" bestFit="1" customWidth="1"/>
    <col min="17" max="17" width="17.140625" style="125" bestFit="1" customWidth="1"/>
    <col min="18" max="18" width="17.7109375" style="125" bestFit="1" customWidth="1"/>
    <col min="19" max="19" width="17.140625" style="125" bestFit="1" customWidth="1"/>
    <col min="20" max="20" width="17.7109375" style="125" bestFit="1" customWidth="1"/>
    <col min="21" max="21" width="17.140625" style="125" bestFit="1" customWidth="1"/>
    <col min="22" max="22" width="17.7109375" style="125" bestFit="1" customWidth="1"/>
    <col min="23" max="23" width="17.140625" style="125" bestFit="1" customWidth="1"/>
    <col min="24" max="24" width="17.7109375" style="125" bestFit="1" customWidth="1"/>
    <col min="25" max="25" width="15.85546875" style="125" bestFit="1" customWidth="1"/>
    <col min="26" max="26" width="20.5703125" style="125" bestFit="1" customWidth="1"/>
    <col min="27" max="27" width="9.28515625" style="125" bestFit="1" customWidth="1"/>
    <col min="28" max="28" width="8.5703125" style="125" bestFit="1" customWidth="1"/>
    <col min="29" max="29" width="14.7109375" style="125" bestFit="1" customWidth="1"/>
    <col min="30" max="30" width="25.5703125" style="125" bestFit="1" customWidth="1"/>
    <col min="31" max="31" width="26.5703125" style="125" bestFit="1" customWidth="1"/>
    <col min="32" max="32" width="26.5703125" style="125" customWidth="1"/>
    <col min="33" max="33" width="15.5703125" style="125" bestFit="1" customWidth="1"/>
    <col min="34" max="34" width="28.5703125" style="125" bestFit="1" customWidth="1"/>
    <col min="35" max="35" width="27.5703125" style="125" bestFit="1" customWidth="1"/>
    <col min="36" max="36" width="21.42578125" style="125" bestFit="1" customWidth="1"/>
    <col min="37" max="16384" width="9.140625" style="125"/>
  </cols>
  <sheetData>
    <row r="1" spans="1:28" x14ac:dyDescent="0.2">
      <c r="A1" s="125" t="s">
        <v>922</v>
      </c>
      <c r="B1" s="125" t="s">
        <v>642</v>
      </c>
      <c r="C1" s="125" t="s">
        <v>779</v>
      </c>
      <c r="D1" s="125" t="s">
        <v>780</v>
      </c>
      <c r="E1" s="125" t="s">
        <v>846</v>
      </c>
      <c r="F1" s="125" t="s">
        <v>847</v>
      </c>
      <c r="G1" s="125" t="s">
        <v>927</v>
      </c>
      <c r="H1" s="125" t="s">
        <v>924</v>
      </c>
      <c r="I1" s="125" t="s">
        <v>925</v>
      </c>
      <c r="J1" s="125" t="s">
        <v>926</v>
      </c>
      <c r="K1" s="125" t="s">
        <v>848</v>
      </c>
      <c r="L1" s="125" t="s">
        <v>849</v>
      </c>
      <c r="M1" s="125" t="s">
        <v>850</v>
      </c>
      <c r="N1" s="125" t="s">
        <v>851</v>
      </c>
      <c r="O1" s="125" t="s">
        <v>852</v>
      </c>
      <c r="P1" s="125" t="s">
        <v>853</v>
      </c>
      <c r="Q1" s="125" t="s">
        <v>854</v>
      </c>
      <c r="R1" s="125" t="s">
        <v>855</v>
      </c>
      <c r="S1" s="125" t="s">
        <v>856</v>
      </c>
      <c r="T1" s="125" t="s">
        <v>857</v>
      </c>
      <c r="U1" s="125" t="s">
        <v>858</v>
      </c>
      <c r="V1" s="125" t="s">
        <v>859</v>
      </c>
      <c r="W1" s="125" t="s">
        <v>860</v>
      </c>
      <c r="X1" s="125" t="s">
        <v>861</v>
      </c>
      <c r="Y1" s="125" t="s">
        <v>862</v>
      </c>
      <c r="Z1" s="125" t="s">
        <v>863</v>
      </c>
      <c r="AA1" s="125">
        <f>53638000000</f>
        <v>53638000000</v>
      </c>
      <c r="AB1" s="125">
        <f>7251000000</f>
        <v>7251000000</v>
      </c>
    </row>
    <row r="2" spans="1:28" x14ac:dyDescent="0.2">
      <c r="B2" s="125" t="s">
        <v>143</v>
      </c>
      <c r="C2" s="125">
        <f>SUM(K2,M2,O2,Q2,S2,U2,W2)/7</f>
        <v>2340</v>
      </c>
      <c r="D2" s="125">
        <f>SUM(L2,N2,P2,R2,T2,V2,X2)/7</f>
        <v>2339.7142857142858</v>
      </c>
      <c r="E2" s="125">
        <f>Z2*143.36</f>
        <v>3641200.6400000001</v>
      </c>
      <c r="F2" s="125">
        <f>Z2*$AB$3</f>
        <v>6794232.5</v>
      </c>
      <c r="G2" s="125">
        <f>SUM(H2:J2)*1000</f>
        <v>37989000</v>
      </c>
      <c r="H2" s="125">
        <v>684</v>
      </c>
      <c r="I2" s="125">
        <v>37140</v>
      </c>
      <c r="J2" s="125">
        <v>165</v>
      </c>
      <c r="K2" s="125">
        <v>7057</v>
      </c>
      <c r="L2" s="125">
        <v>5609</v>
      </c>
      <c r="M2" s="125">
        <v>1879</v>
      </c>
      <c r="N2" s="125">
        <v>1330</v>
      </c>
      <c r="O2" s="125">
        <v>1826</v>
      </c>
      <c r="P2" s="125">
        <v>1563</v>
      </c>
      <c r="Q2" s="125">
        <v>836</v>
      </c>
      <c r="R2" s="125">
        <v>3010</v>
      </c>
      <c r="S2" s="125">
        <v>1050</v>
      </c>
      <c r="T2" s="125">
        <v>2751</v>
      </c>
      <c r="U2" s="125">
        <v>1079</v>
      </c>
      <c r="V2" s="125">
        <v>1146</v>
      </c>
      <c r="W2" s="125">
        <v>2653</v>
      </c>
      <c r="X2" s="125">
        <v>969</v>
      </c>
      <c r="Y2" s="125">
        <v>25279</v>
      </c>
      <c r="Z2" s="125">
        <v>25399</v>
      </c>
      <c r="AA2" s="125">
        <f>16779575*138.66</f>
        <v>2326655869.5</v>
      </c>
      <c r="AB2" s="125">
        <v>17184010</v>
      </c>
    </row>
    <row r="3" spans="1:28" x14ac:dyDescent="0.2">
      <c r="B3" s="125" t="s">
        <v>416</v>
      </c>
      <c r="C3" s="125">
        <f t="shared" ref="C3:D65" si="0">SUM(K3,M3,O3,Q3,S3,U3,W3)/7</f>
        <v>2144.8571428571427</v>
      </c>
      <c r="D3" s="125">
        <f t="shared" si="0"/>
        <v>2294.2857142857142</v>
      </c>
      <c r="E3" s="125">
        <f t="shared" ref="E3:E65" si="1">Z3*143.36</f>
        <v>1884180.4800000002</v>
      </c>
      <c r="F3" s="125">
        <f t="shared" ref="F3:F65" si="2">Z3*$AB$3</f>
        <v>3515752.5</v>
      </c>
      <c r="G3" s="125">
        <f t="shared" ref="G3:G66" si="3">SUM(H3:J3)*1000</f>
        <v>17931000</v>
      </c>
      <c r="H3" s="125">
        <v>3949</v>
      </c>
      <c r="I3" s="125">
        <v>13760</v>
      </c>
      <c r="J3" s="125">
        <v>222</v>
      </c>
      <c r="K3" s="125">
        <v>157</v>
      </c>
      <c r="L3" s="125">
        <v>-18</v>
      </c>
      <c r="M3" s="125">
        <v>1661</v>
      </c>
      <c r="N3" s="125">
        <v>1571</v>
      </c>
      <c r="O3" s="125">
        <v>2988</v>
      </c>
      <c r="P3" s="125">
        <v>3067</v>
      </c>
      <c r="Q3" s="125">
        <v>2533</v>
      </c>
      <c r="R3" s="125">
        <v>2632</v>
      </c>
      <c r="S3" s="125">
        <v>2900</v>
      </c>
      <c r="T3" s="125">
        <v>4151</v>
      </c>
      <c r="U3" s="125">
        <v>2752</v>
      </c>
      <c r="V3" s="125">
        <v>2948</v>
      </c>
      <c r="W3" s="125">
        <v>2023</v>
      </c>
      <c r="X3" s="125">
        <v>1709</v>
      </c>
      <c r="Y3" s="125">
        <v>13070</v>
      </c>
      <c r="Z3" s="125">
        <v>13143</v>
      </c>
      <c r="AA3" s="234">
        <f>AA2/AA1</f>
        <v>4.3377006404041914E-2</v>
      </c>
      <c r="AB3" s="125">
        <v>267.5</v>
      </c>
    </row>
    <row r="4" spans="1:28" x14ac:dyDescent="0.2">
      <c r="B4" s="125" t="s">
        <v>301</v>
      </c>
      <c r="C4" s="125">
        <f t="shared" si="0"/>
        <v>12657.428571428571</v>
      </c>
      <c r="D4" s="125">
        <f t="shared" si="0"/>
        <v>13836.714285714286</v>
      </c>
      <c r="E4" s="125">
        <f t="shared" si="1"/>
        <v>4516126.7200000007</v>
      </c>
      <c r="F4" s="125">
        <f t="shared" si="2"/>
        <v>8426785</v>
      </c>
      <c r="G4" s="125">
        <f t="shared" si="3"/>
        <v>48019000</v>
      </c>
      <c r="H4" s="125">
        <v>81</v>
      </c>
      <c r="I4" s="125">
        <v>46499</v>
      </c>
      <c r="J4" s="125">
        <v>1439</v>
      </c>
      <c r="K4" s="125">
        <v>11667</v>
      </c>
      <c r="L4" s="125">
        <v>12579</v>
      </c>
      <c r="M4" s="125">
        <v>20691</v>
      </c>
      <c r="N4" s="125">
        <v>24236</v>
      </c>
      <c r="O4" s="125">
        <v>8687</v>
      </c>
      <c r="P4" s="125">
        <v>12064</v>
      </c>
      <c r="Q4" s="125">
        <v>15410</v>
      </c>
      <c r="R4" s="125">
        <v>18059</v>
      </c>
      <c r="S4" s="125">
        <v>12188</v>
      </c>
      <c r="T4" s="125">
        <v>8962</v>
      </c>
      <c r="U4" s="125">
        <v>9234</v>
      </c>
      <c r="V4" s="125">
        <v>10129</v>
      </c>
      <c r="W4" s="125">
        <v>10725</v>
      </c>
      <c r="X4" s="125">
        <v>10828</v>
      </c>
      <c r="Y4" s="125">
        <v>31382</v>
      </c>
      <c r="Z4" s="125">
        <v>31502</v>
      </c>
    </row>
    <row r="5" spans="1:28" x14ac:dyDescent="0.2">
      <c r="B5" s="125" t="s">
        <v>223</v>
      </c>
      <c r="C5" s="125">
        <f t="shared" si="0"/>
        <v>3289.1428571428573</v>
      </c>
      <c r="D5" s="125">
        <f t="shared" si="0"/>
        <v>4071</v>
      </c>
      <c r="E5" s="125">
        <f t="shared" si="1"/>
        <v>3865415.6800000002</v>
      </c>
      <c r="F5" s="125">
        <f t="shared" si="2"/>
        <v>7212602.5</v>
      </c>
      <c r="G5" s="125">
        <f t="shared" si="3"/>
        <v>35562000</v>
      </c>
      <c r="H5" s="125">
        <v>380</v>
      </c>
      <c r="I5" s="125">
        <v>34636</v>
      </c>
      <c r="J5" s="125">
        <v>546</v>
      </c>
      <c r="K5" s="125">
        <v>3760</v>
      </c>
      <c r="L5" s="125">
        <v>5019</v>
      </c>
      <c r="M5" s="125">
        <v>3876</v>
      </c>
      <c r="N5" s="125">
        <v>3238</v>
      </c>
      <c r="O5" s="125">
        <v>4575</v>
      </c>
      <c r="P5" s="125">
        <v>5650</v>
      </c>
      <c r="Q5" s="125">
        <v>4863</v>
      </c>
      <c r="R5" s="125">
        <v>6053</v>
      </c>
      <c r="S5" s="125">
        <v>1112</v>
      </c>
      <c r="T5" s="125">
        <v>1680</v>
      </c>
      <c r="U5" s="125">
        <v>2543</v>
      </c>
      <c r="V5" s="125">
        <v>3803</v>
      </c>
      <c r="W5" s="125">
        <v>2295</v>
      </c>
      <c r="X5" s="125">
        <v>3054</v>
      </c>
      <c r="Y5" s="125">
        <v>27050</v>
      </c>
      <c r="Z5" s="125">
        <v>26963</v>
      </c>
      <c r="AA5" s="125">
        <v>56479000000</v>
      </c>
    </row>
    <row r="6" spans="1:28" x14ac:dyDescent="0.2">
      <c r="B6" s="125" t="s">
        <v>179</v>
      </c>
      <c r="C6" s="125">
        <f t="shared" si="0"/>
        <v>3549.7142857142858</v>
      </c>
      <c r="D6" s="125">
        <f t="shared" si="0"/>
        <v>3274.1428571428573</v>
      </c>
      <c r="E6" s="125">
        <f t="shared" si="1"/>
        <v>4003184.6400000006</v>
      </c>
      <c r="F6" s="125">
        <f t="shared" si="2"/>
        <v>7469670</v>
      </c>
      <c r="G6" s="125">
        <f t="shared" si="3"/>
        <v>60264000</v>
      </c>
      <c r="H6" s="125">
        <v>0</v>
      </c>
      <c r="I6" s="125">
        <v>59928</v>
      </c>
      <c r="J6" s="125">
        <v>336</v>
      </c>
      <c r="K6" s="125">
        <v>3584</v>
      </c>
      <c r="L6" s="125">
        <v>2976</v>
      </c>
      <c r="M6" s="125">
        <v>3103</v>
      </c>
      <c r="N6" s="125">
        <v>3970</v>
      </c>
      <c r="O6" s="125">
        <v>7337</v>
      </c>
      <c r="P6" s="125">
        <v>6059</v>
      </c>
      <c r="Q6" s="125">
        <v>2801</v>
      </c>
      <c r="R6" s="125">
        <v>2857</v>
      </c>
      <c r="S6" s="125">
        <v>3129</v>
      </c>
      <c r="T6" s="125">
        <v>3216</v>
      </c>
      <c r="U6" s="125">
        <v>2867</v>
      </c>
      <c r="V6" s="125">
        <v>1876</v>
      </c>
      <c r="W6" s="125">
        <v>2027</v>
      </c>
      <c r="X6" s="125">
        <v>1965</v>
      </c>
      <c r="Y6" s="125">
        <v>27894</v>
      </c>
      <c r="Z6" s="125">
        <v>27924</v>
      </c>
      <c r="AA6" s="125">
        <f>AA3*AA5</f>
        <v>2449889944.6938834</v>
      </c>
    </row>
    <row r="7" spans="1:28" x14ac:dyDescent="0.2">
      <c r="B7" s="125" t="s">
        <v>346</v>
      </c>
      <c r="C7" s="125">
        <f t="shared" si="0"/>
        <v>4381.4285714285716</v>
      </c>
      <c r="D7" s="125">
        <f t="shared" si="0"/>
        <v>4248.8571428571431</v>
      </c>
      <c r="E7" s="125">
        <f t="shared" si="1"/>
        <v>2869063.6800000002</v>
      </c>
      <c r="F7" s="125">
        <f t="shared" si="2"/>
        <v>5353477.5</v>
      </c>
      <c r="G7" s="125">
        <f t="shared" si="3"/>
        <v>44474000</v>
      </c>
      <c r="H7" s="125">
        <v>0</v>
      </c>
      <c r="I7" s="125">
        <v>43870</v>
      </c>
      <c r="J7" s="125">
        <v>604</v>
      </c>
      <c r="K7" s="125">
        <v>3904</v>
      </c>
      <c r="L7" s="125">
        <v>1760</v>
      </c>
      <c r="M7" s="125">
        <v>11108</v>
      </c>
      <c r="N7" s="125">
        <v>10710</v>
      </c>
      <c r="O7" s="125">
        <v>7415</v>
      </c>
      <c r="P7" s="125">
        <v>8180</v>
      </c>
      <c r="Q7" s="125">
        <v>2273</v>
      </c>
      <c r="R7" s="125">
        <v>3066</v>
      </c>
      <c r="S7" s="125">
        <v>2542</v>
      </c>
      <c r="T7" s="125">
        <v>2280</v>
      </c>
      <c r="U7" s="125">
        <v>1684</v>
      </c>
      <c r="V7" s="125">
        <v>1994</v>
      </c>
      <c r="W7" s="125">
        <v>1744</v>
      </c>
      <c r="X7" s="125">
        <v>1752</v>
      </c>
      <c r="Y7" s="125">
        <v>20015</v>
      </c>
      <c r="Z7" s="125">
        <v>20013</v>
      </c>
      <c r="AA7" s="235">
        <f>AA6/Y382</f>
        <v>143.35484989452024</v>
      </c>
    </row>
    <row r="8" spans="1:28" x14ac:dyDescent="0.2">
      <c r="B8" s="125" t="s">
        <v>347</v>
      </c>
      <c r="C8" s="125">
        <f t="shared" si="0"/>
        <v>8210.5714285714294</v>
      </c>
      <c r="D8" s="125">
        <f t="shared" si="0"/>
        <v>8919.4285714285706</v>
      </c>
      <c r="E8" s="125">
        <f t="shared" si="1"/>
        <v>3616399.3600000003</v>
      </c>
      <c r="F8" s="125">
        <f t="shared" si="2"/>
        <v>6747955</v>
      </c>
      <c r="G8" s="125">
        <f t="shared" si="3"/>
        <v>49651000</v>
      </c>
      <c r="H8" s="125">
        <v>0</v>
      </c>
      <c r="I8" s="125">
        <v>47990</v>
      </c>
      <c r="J8" s="125">
        <v>1661</v>
      </c>
      <c r="K8" s="125">
        <v>5428</v>
      </c>
      <c r="L8" s="125">
        <v>7141</v>
      </c>
      <c r="M8" s="125">
        <v>6696</v>
      </c>
      <c r="N8" s="125">
        <v>7027</v>
      </c>
      <c r="O8" s="125">
        <v>5125</v>
      </c>
      <c r="P8" s="125">
        <v>4974</v>
      </c>
      <c r="Q8" s="125">
        <v>7786</v>
      </c>
      <c r="R8" s="125">
        <v>9705</v>
      </c>
      <c r="S8" s="125">
        <v>7876</v>
      </c>
      <c r="T8" s="125">
        <v>7956</v>
      </c>
      <c r="U8" s="125">
        <v>15407</v>
      </c>
      <c r="V8" s="125">
        <v>15303</v>
      </c>
      <c r="W8" s="125">
        <v>9156</v>
      </c>
      <c r="X8" s="125">
        <v>10330</v>
      </c>
      <c r="Y8" s="125">
        <v>25106</v>
      </c>
      <c r="Z8" s="125">
        <v>25226</v>
      </c>
    </row>
    <row r="9" spans="1:28" x14ac:dyDescent="0.2">
      <c r="B9" s="125" t="s">
        <v>302</v>
      </c>
      <c r="C9" s="125">
        <f t="shared" si="0"/>
        <v>40326.142857142855</v>
      </c>
      <c r="D9" s="125">
        <f t="shared" si="0"/>
        <v>42418.714285714283</v>
      </c>
      <c r="E9" s="125">
        <f t="shared" si="1"/>
        <v>15554560.000000002</v>
      </c>
      <c r="F9" s="125">
        <f t="shared" si="2"/>
        <v>29023750</v>
      </c>
      <c r="G9" s="125">
        <f t="shared" si="3"/>
        <v>407251000</v>
      </c>
      <c r="H9" s="125">
        <v>416</v>
      </c>
      <c r="I9" s="125">
        <v>400708</v>
      </c>
      <c r="J9" s="125">
        <v>6127</v>
      </c>
      <c r="K9" s="125">
        <v>25603</v>
      </c>
      <c r="L9" s="125">
        <v>32919</v>
      </c>
      <c r="M9" s="125">
        <v>52511</v>
      </c>
      <c r="N9" s="125">
        <v>52625</v>
      </c>
      <c r="O9" s="125">
        <v>51641</v>
      </c>
      <c r="P9" s="125">
        <v>52240</v>
      </c>
      <c r="Q9" s="125">
        <v>43740</v>
      </c>
      <c r="R9" s="125">
        <v>44282</v>
      </c>
      <c r="S9" s="125">
        <v>28058</v>
      </c>
      <c r="T9" s="125">
        <v>36505</v>
      </c>
      <c r="U9" s="125">
        <v>36174</v>
      </c>
      <c r="V9" s="125">
        <v>35078</v>
      </c>
      <c r="W9" s="125">
        <v>44556</v>
      </c>
      <c r="X9" s="125">
        <v>43282</v>
      </c>
      <c r="Y9" s="125">
        <v>108437</v>
      </c>
      <c r="Z9" s="125">
        <v>108500</v>
      </c>
    </row>
    <row r="10" spans="1:28" x14ac:dyDescent="0.2">
      <c r="B10" s="125" t="s">
        <v>199</v>
      </c>
      <c r="C10" s="125">
        <f t="shared" si="0"/>
        <v>47244</v>
      </c>
      <c r="D10" s="125">
        <f t="shared" si="0"/>
        <v>64702.428571428572</v>
      </c>
      <c r="E10" s="125">
        <f t="shared" si="1"/>
        <v>10409512.960000001</v>
      </c>
      <c r="F10" s="125">
        <f t="shared" si="2"/>
        <v>19423442.5</v>
      </c>
      <c r="G10" s="125">
        <f t="shared" si="3"/>
        <v>170917000</v>
      </c>
      <c r="H10" s="125">
        <v>5341</v>
      </c>
      <c r="I10" s="125">
        <v>164728</v>
      </c>
      <c r="J10" s="125">
        <v>848</v>
      </c>
      <c r="K10" s="125">
        <v>30083</v>
      </c>
      <c r="L10" s="125">
        <v>22578</v>
      </c>
      <c r="M10" s="125">
        <v>61429</v>
      </c>
      <c r="N10" s="125">
        <v>116258</v>
      </c>
      <c r="O10" s="125">
        <v>55271</v>
      </c>
      <c r="P10" s="125">
        <v>54625</v>
      </c>
      <c r="Q10" s="125">
        <v>55150</v>
      </c>
      <c r="R10" s="125">
        <v>60563</v>
      </c>
      <c r="S10" s="125">
        <v>81597</v>
      </c>
      <c r="T10" s="125">
        <v>140066</v>
      </c>
      <c r="U10" s="125">
        <v>22927</v>
      </c>
      <c r="V10" s="125">
        <v>26747</v>
      </c>
      <c r="W10" s="125">
        <v>24251</v>
      </c>
      <c r="X10" s="125">
        <v>32080</v>
      </c>
      <c r="Y10" s="125">
        <v>72487</v>
      </c>
      <c r="Z10" s="125">
        <v>72611</v>
      </c>
    </row>
    <row r="11" spans="1:28" x14ac:dyDescent="0.2">
      <c r="B11" s="125" t="s">
        <v>511</v>
      </c>
      <c r="C11" s="125">
        <f t="shared" si="0"/>
        <v>120081.57142857143</v>
      </c>
      <c r="D11" s="125">
        <f t="shared" si="0"/>
        <v>133957.42857142858</v>
      </c>
      <c r="E11" s="125">
        <f t="shared" si="1"/>
        <v>29245009.920000002</v>
      </c>
      <c r="F11" s="125">
        <f t="shared" si="2"/>
        <v>54569197.5</v>
      </c>
      <c r="G11" s="125">
        <f t="shared" si="3"/>
        <v>518196000</v>
      </c>
      <c r="H11" s="125">
        <v>3160</v>
      </c>
      <c r="I11" s="125">
        <v>498766</v>
      </c>
      <c r="J11" s="125">
        <v>16270</v>
      </c>
      <c r="K11" s="125">
        <v>108287</v>
      </c>
      <c r="L11" s="125">
        <v>104672</v>
      </c>
      <c r="M11" s="125">
        <v>178453</v>
      </c>
      <c r="N11" s="125">
        <v>144319</v>
      </c>
      <c r="O11" s="125">
        <v>134032</v>
      </c>
      <c r="P11" s="125">
        <v>159886</v>
      </c>
      <c r="Q11" s="125">
        <v>103524</v>
      </c>
      <c r="R11" s="125">
        <v>110536</v>
      </c>
      <c r="S11" s="125">
        <v>84793</v>
      </c>
      <c r="T11" s="125">
        <v>154627</v>
      </c>
      <c r="U11" s="125">
        <v>133158</v>
      </c>
      <c r="V11" s="125">
        <v>162639</v>
      </c>
      <c r="W11" s="125">
        <v>98324</v>
      </c>
      <c r="X11" s="125">
        <v>101023</v>
      </c>
      <c r="Y11" s="125">
        <v>200954</v>
      </c>
      <c r="Z11" s="125">
        <v>203997</v>
      </c>
    </row>
    <row r="12" spans="1:28" x14ac:dyDescent="0.2">
      <c r="B12" s="125" t="s">
        <v>348</v>
      </c>
      <c r="C12" s="125">
        <f t="shared" si="0"/>
        <v>39519.571428571428</v>
      </c>
      <c r="D12" s="125">
        <f t="shared" si="0"/>
        <v>47979.285714285717</v>
      </c>
      <c r="E12" s="125">
        <f t="shared" si="1"/>
        <v>15721861.120000001</v>
      </c>
      <c r="F12" s="125">
        <f t="shared" si="2"/>
        <v>29335922.5</v>
      </c>
      <c r="G12" s="125">
        <f t="shared" si="3"/>
        <v>287743000</v>
      </c>
      <c r="H12" s="125">
        <v>4764</v>
      </c>
      <c r="I12" s="125">
        <v>275478</v>
      </c>
      <c r="J12" s="125">
        <v>7501</v>
      </c>
      <c r="K12" s="125">
        <v>53214</v>
      </c>
      <c r="L12" s="125">
        <v>63505</v>
      </c>
      <c r="M12" s="125">
        <v>46371</v>
      </c>
      <c r="N12" s="125">
        <v>51651</v>
      </c>
      <c r="O12" s="125">
        <v>48615</v>
      </c>
      <c r="P12" s="125">
        <v>62658</v>
      </c>
      <c r="Q12" s="125">
        <v>36477</v>
      </c>
      <c r="R12" s="125">
        <v>67936</v>
      </c>
      <c r="S12" s="125">
        <v>27961</v>
      </c>
      <c r="T12" s="125">
        <v>37830</v>
      </c>
      <c r="U12" s="125">
        <v>35172</v>
      </c>
      <c r="V12" s="125">
        <v>34370</v>
      </c>
      <c r="W12" s="125">
        <v>28827</v>
      </c>
      <c r="X12" s="125">
        <v>17905</v>
      </c>
      <c r="Y12" s="125">
        <v>108918</v>
      </c>
      <c r="Z12" s="125">
        <v>109667</v>
      </c>
    </row>
    <row r="13" spans="1:28" x14ac:dyDescent="0.2">
      <c r="B13" s="125" t="s">
        <v>417</v>
      </c>
      <c r="C13" s="125">
        <f t="shared" si="0"/>
        <v>2553.4285714285716</v>
      </c>
      <c r="D13" s="125">
        <f t="shared" si="0"/>
        <v>2418.1428571428573</v>
      </c>
      <c r="E13" s="125">
        <f t="shared" si="1"/>
        <v>1445498.8800000001</v>
      </c>
      <c r="F13" s="125">
        <f t="shared" si="2"/>
        <v>2697202.5</v>
      </c>
      <c r="G13" s="125">
        <f t="shared" si="3"/>
        <v>18169000</v>
      </c>
      <c r="H13" s="125">
        <v>714</v>
      </c>
      <c r="I13" s="125">
        <v>17376</v>
      </c>
      <c r="J13" s="125">
        <v>79</v>
      </c>
      <c r="K13" s="125">
        <v>1450</v>
      </c>
      <c r="L13" s="125">
        <v>1767</v>
      </c>
      <c r="M13" s="125">
        <v>4558</v>
      </c>
      <c r="N13" s="125">
        <v>4792</v>
      </c>
      <c r="O13" s="125">
        <v>2880</v>
      </c>
      <c r="P13" s="125">
        <v>2674</v>
      </c>
      <c r="Q13" s="125">
        <v>1641</v>
      </c>
      <c r="R13" s="125">
        <v>1409</v>
      </c>
      <c r="S13" s="125">
        <v>1495</v>
      </c>
      <c r="T13" s="125">
        <v>1364</v>
      </c>
      <c r="U13" s="125">
        <v>2821</v>
      </c>
      <c r="V13" s="125">
        <v>2607</v>
      </c>
      <c r="W13" s="125">
        <v>3029</v>
      </c>
      <c r="X13" s="125">
        <v>2314</v>
      </c>
      <c r="Y13" s="125">
        <v>10052</v>
      </c>
      <c r="Z13" s="125">
        <v>10083</v>
      </c>
    </row>
    <row r="14" spans="1:28" x14ac:dyDescent="0.2">
      <c r="B14" s="125" t="s">
        <v>180</v>
      </c>
      <c r="C14" s="125">
        <f t="shared" si="0"/>
        <v>243.57142857142858</v>
      </c>
      <c r="D14" s="125">
        <f t="shared" si="0"/>
        <v>262.71428571428572</v>
      </c>
      <c r="E14" s="125">
        <f t="shared" si="1"/>
        <v>523837.44000000006</v>
      </c>
      <c r="F14" s="125">
        <f t="shared" si="2"/>
        <v>977445</v>
      </c>
      <c r="G14" s="125">
        <f t="shared" si="3"/>
        <v>28893000</v>
      </c>
      <c r="H14" s="125">
        <v>2011</v>
      </c>
      <c r="I14" s="125">
        <v>26817</v>
      </c>
      <c r="J14" s="125">
        <v>65</v>
      </c>
      <c r="K14" s="125">
        <v>607</v>
      </c>
      <c r="L14" s="125">
        <v>608</v>
      </c>
      <c r="M14" s="125">
        <v>517</v>
      </c>
      <c r="N14" s="125">
        <v>580</v>
      </c>
      <c r="O14" s="125">
        <v>281</v>
      </c>
      <c r="P14" s="125">
        <v>281</v>
      </c>
      <c r="Q14" s="125">
        <v>22</v>
      </c>
      <c r="R14" s="125">
        <v>22</v>
      </c>
      <c r="S14" s="125">
        <v>9</v>
      </c>
      <c r="T14" s="125">
        <v>10</v>
      </c>
      <c r="U14" s="125">
        <v>21</v>
      </c>
      <c r="V14" s="125">
        <v>21</v>
      </c>
      <c r="W14" s="125">
        <v>248</v>
      </c>
      <c r="X14" s="125">
        <v>317</v>
      </c>
      <c r="Y14" s="125">
        <v>3633</v>
      </c>
      <c r="Z14" s="125">
        <v>3654</v>
      </c>
    </row>
    <row r="15" spans="1:28" x14ac:dyDescent="0.2">
      <c r="B15" s="125" t="s">
        <v>276</v>
      </c>
      <c r="C15" s="125">
        <f t="shared" si="0"/>
        <v>61954.142857142855</v>
      </c>
      <c r="D15" s="125">
        <f t="shared" si="0"/>
        <v>70150.571428571435</v>
      </c>
      <c r="E15" s="125">
        <f t="shared" si="1"/>
        <v>22251622.400000002</v>
      </c>
      <c r="F15" s="125">
        <f t="shared" si="2"/>
        <v>41520012.5</v>
      </c>
      <c r="G15" s="125">
        <f t="shared" si="3"/>
        <v>355829000</v>
      </c>
      <c r="H15" s="125">
        <v>249</v>
      </c>
      <c r="I15" s="125">
        <v>349409</v>
      </c>
      <c r="J15" s="125">
        <v>6171</v>
      </c>
      <c r="K15" s="125">
        <v>75003</v>
      </c>
      <c r="L15" s="125">
        <v>80674</v>
      </c>
      <c r="M15" s="125">
        <v>91094</v>
      </c>
      <c r="N15" s="125">
        <v>112404</v>
      </c>
      <c r="O15" s="125">
        <v>41199</v>
      </c>
      <c r="P15" s="125">
        <v>52917</v>
      </c>
      <c r="Q15" s="125">
        <v>61019</v>
      </c>
      <c r="R15" s="125">
        <v>80693</v>
      </c>
      <c r="S15" s="125">
        <v>39513</v>
      </c>
      <c r="T15" s="125">
        <v>45157</v>
      </c>
      <c r="U15" s="125">
        <v>68614</v>
      </c>
      <c r="V15" s="125">
        <v>68627</v>
      </c>
      <c r="W15" s="125">
        <v>57237</v>
      </c>
      <c r="X15" s="125">
        <v>50582</v>
      </c>
      <c r="Y15" s="125">
        <v>154338</v>
      </c>
      <c r="Z15" s="125">
        <v>155215</v>
      </c>
    </row>
    <row r="16" spans="1:28" x14ac:dyDescent="0.2">
      <c r="B16" s="125" t="s">
        <v>303</v>
      </c>
      <c r="C16" s="125">
        <f t="shared" si="0"/>
        <v>31732.142857142859</v>
      </c>
      <c r="D16" s="125">
        <f t="shared" si="0"/>
        <v>28216.571428571428</v>
      </c>
      <c r="E16" s="125">
        <f t="shared" si="1"/>
        <v>12887347.200000001</v>
      </c>
      <c r="F16" s="125">
        <f t="shared" si="2"/>
        <v>24046912.5</v>
      </c>
      <c r="G16" s="125">
        <f t="shared" si="3"/>
        <v>200384000</v>
      </c>
      <c r="H16" s="125">
        <v>0</v>
      </c>
      <c r="I16" s="125">
        <v>200384</v>
      </c>
      <c r="J16" s="125">
        <v>0</v>
      </c>
      <c r="K16" s="125">
        <v>21056</v>
      </c>
      <c r="L16" s="125">
        <v>16390</v>
      </c>
      <c r="M16" s="125">
        <v>63170</v>
      </c>
      <c r="N16" s="125">
        <v>62197</v>
      </c>
      <c r="O16" s="125">
        <v>37403</v>
      </c>
      <c r="P16" s="125">
        <v>38365</v>
      </c>
      <c r="Q16" s="125">
        <v>21318</v>
      </c>
      <c r="R16" s="125">
        <v>18727</v>
      </c>
      <c r="S16" s="125">
        <v>17065</v>
      </c>
      <c r="T16" s="125">
        <v>15570</v>
      </c>
      <c r="U16" s="125">
        <v>43358</v>
      </c>
      <c r="V16" s="125">
        <v>31764</v>
      </c>
      <c r="W16" s="125">
        <v>18755</v>
      </c>
      <c r="X16" s="125">
        <v>14503</v>
      </c>
      <c r="Y16" s="125">
        <v>89298</v>
      </c>
      <c r="Z16" s="125">
        <v>89895</v>
      </c>
    </row>
    <row r="17" spans="2:35" x14ac:dyDescent="0.2">
      <c r="B17" s="125" t="s">
        <v>304</v>
      </c>
      <c r="C17" s="125">
        <f t="shared" si="0"/>
        <v>999640.57142857148</v>
      </c>
      <c r="D17" s="125">
        <f t="shared" si="0"/>
        <v>819680.14285714284</v>
      </c>
      <c r="E17" s="125">
        <f t="shared" si="1"/>
        <v>122701250.56000002</v>
      </c>
      <c r="F17" s="125">
        <f t="shared" si="2"/>
        <v>228952180</v>
      </c>
      <c r="G17" s="125">
        <f t="shared" si="3"/>
        <v>11287581000</v>
      </c>
      <c r="H17" s="125">
        <v>20164</v>
      </c>
      <c r="I17" s="125">
        <v>10550233</v>
      </c>
      <c r="J17" s="125">
        <v>717184</v>
      </c>
      <c r="K17" s="125">
        <v>966851</v>
      </c>
      <c r="L17" s="125">
        <v>935807</v>
      </c>
      <c r="M17" s="125">
        <v>793908</v>
      </c>
      <c r="N17" s="125">
        <v>682078</v>
      </c>
      <c r="O17" s="125">
        <v>971884</v>
      </c>
      <c r="P17" s="125">
        <v>1068193</v>
      </c>
      <c r="Q17" s="125">
        <v>1019834</v>
      </c>
      <c r="R17" s="125">
        <v>595748</v>
      </c>
      <c r="S17" s="125">
        <v>1133742</v>
      </c>
      <c r="T17" s="125">
        <v>957530</v>
      </c>
      <c r="U17" s="125">
        <v>1072643</v>
      </c>
      <c r="V17" s="125">
        <v>708096</v>
      </c>
      <c r="W17" s="125">
        <v>1038622</v>
      </c>
      <c r="X17" s="125">
        <v>790309</v>
      </c>
      <c r="Y17" s="125">
        <v>848861</v>
      </c>
      <c r="Z17" s="125">
        <v>855896</v>
      </c>
    </row>
    <row r="18" spans="2:35" x14ac:dyDescent="0.2">
      <c r="B18" s="125" t="s">
        <v>224</v>
      </c>
      <c r="C18" s="125">
        <f t="shared" si="0"/>
        <v>46595.857142857145</v>
      </c>
      <c r="D18" s="125">
        <f t="shared" si="0"/>
        <v>67232.428571428565</v>
      </c>
      <c r="E18" s="125">
        <f t="shared" si="1"/>
        <v>23106908.160000004</v>
      </c>
      <c r="F18" s="125">
        <f t="shared" si="2"/>
        <v>43115917.5</v>
      </c>
      <c r="G18" s="125">
        <f t="shared" si="3"/>
        <v>544886000</v>
      </c>
      <c r="H18" s="125">
        <v>2434</v>
      </c>
      <c r="I18" s="125">
        <v>538335</v>
      </c>
      <c r="J18" s="125">
        <v>4117</v>
      </c>
      <c r="K18" s="125">
        <v>58587</v>
      </c>
      <c r="L18" s="125">
        <v>106864</v>
      </c>
      <c r="M18" s="125">
        <v>38072</v>
      </c>
      <c r="N18" s="125">
        <v>163102</v>
      </c>
      <c r="O18" s="125">
        <v>76986</v>
      </c>
      <c r="P18" s="125">
        <v>45522</v>
      </c>
      <c r="Q18" s="125">
        <v>33987</v>
      </c>
      <c r="R18" s="125">
        <v>49696</v>
      </c>
      <c r="S18" s="125">
        <v>22478</v>
      </c>
      <c r="T18" s="125">
        <v>31632</v>
      </c>
      <c r="U18" s="125">
        <v>49320</v>
      </c>
      <c r="V18" s="125">
        <v>47146</v>
      </c>
      <c r="W18" s="125">
        <v>46741</v>
      </c>
      <c r="X18" s="125">
        <v>26665</v>
      </c>
      <c r="Y18" s="125">
        <v>160059</v>
      </c>
      <c r="Z18" s="125">
        <v>161181</v>
      </c>
    </row>
    <row r="19" spans="2:35" x14ac:dyDescent="0.2">
      <c r="B19" s="125" t="s">
        <v>156</v>
      </c>
      <c r="C19" s="125">
        <f t="shared" si="0"/>
        <v>1140.2857142857142</v>
      </c>
      <c r="D19" s="125">
        <f t="shared" si="0"/>
        <v>1727</v>
      </c>
      <c r="E19" s="125">
        <f t="shared" si="1"/>
        <v>1692508.1600000001</v>
      </c>
      <c r="F19" s="125">
        <f t="shared" si="2"/>
        <v>3158105</v>
      </c>
      <c r="G19" s="125">
        <f t="shared" si="3"/>
        <v>19941000</v>
      </c>
      <c r="H19" s="125">
        <v>44</v>
      </c>
      <c r="I19" s="125">
        <v>19407</v>
      </c>
      <c r="J19" s="125">
        <v>490</v>
      </c>
      <c r="K19" s="125">
        <v>2079</v>
      </c>
      <c r="L19" s="125">
        <v>3413</v>
      </c>
      <c r="M19" s="125">
        <v>1037</v>
      </c>
      <c r="N19" s="125">
        <v>3025</v>
      </c>
      <c r="O19" s="125">
        <v>1193</v>
      </c>
      <c r="P19" s="125">
        <v>1700</v>
      </c>
      <c r="Q19" s="125">
        <v>696</v>
      </c>
      <c r="R19" s="125">
        <v>832</v>
      </c>
      <c r="S19" s="125">
        <v>329</v>
      </c>
      <c r="T19" s="125">
        <v>380</v>
      </c>
      <c r="U19" s="125">
        <v>1906</v>
      </c>
      <c r="V19" s="125">
        <v>1958</v>
      </c>
      <c r="W19" s="125">
        <v>742</v>
      </c>
      <c r="X19" s="125">
        <v>781</v>
      </c>
      <c r="Y19" s="125">
        <v>11967</v>
      </c>
      <c r="Z19" s="125">
        <v>11806</v>
      </c>
    </row>
    <row r="20" spans="2:35" x14ac:dyDescent="0.2">
      <c r="B20" s="125" t="s">
        <v>225</v>
      </c>
      <c r="C20" s="125">
        <f t="shared" si="0"/>
        <v>81304.571428571435</v>
      </c>
      <c r="D20" s="125">
        <f t="shared" si="0"/>
        <v>91084</v>
      </c>
      <c r="E20" s="125">
        <f t="shared" si="1"/>
        <v>22547230.720000003</v>
      </c>
      <c r="F20" s="125">
        <f t="shared" si="2"/>
        <v>42071597.5</v>
      </c>
      <c r="G20" s="125">
        <f t="shared" si="3"/>
        <v>663066000</v>
      </c>
      <c r="H20" s="125">
        <v>3528</v>
      </c>
      <c r="I20" s="125">
        <v>658297</v>
      </c>
      <c r="J20" s="125">
        <v>1241</v>
      </c>
      <c r="K20" s="125">
        <v>200973</v>
      </c>
      <c r="L20" s="125">
        <v>213990</v>
      </c>
      <c r="M20" s="125">
        <v>80406</v>
      </c>
      <c r="N20" s="125">
        <v>100649</v>
      </c>
      <c r="O20" s="125">
        <v>86518</v>
      </c>
      <c r="P20" s="125">
        <v>99646</v>
      </c>
      <c r="Q20" s="125">
        <v>67024</v>
      </c>
      <c r="R20" s="125">
        <v>77480</v>
      </c>
      <c r="S20" s="125">
        <v>47872</v>
      </c>
      <c r="T20" s="125">
        <v>48761</v>
      </c>
      <c r="U20" s="125">
        <v>52451</v>
      </c>
      <c r="V20" s="125">
        <v>62936</v>
      </c>
      <c r="W20" s="125">
        <v>33888</v>
      </c>
      <c r="X20" s="125">
        <v>34126</v>
      </c>
      <c r="Y20" s="125">
        <v>155721</v>
      </c>
      <c r="Z20" s="125">
        <v>157277</v>
      </c>
    </row>
    <row r="21" spans="2:35" x14ac:dyDescent="0.2">
      <c r="B21" s="125" t="s">
        <v>144</v>
      </c>
      <c r="C21" s="125">
        <f t="shared" si="0"/>
        <v>26281.571428571428</v>
      </c>
      <c r="D21" s="125">
        <f t="shared" si="0"/>
        <v>29827</v>
      </c>
      <c r="E21" s="125">
        <f t="shared" si="1"/>
        <v>9703751.6800000016</v>
      </c>
      <c r="F21" s="125">
        <f t="shared" si="2"/>
        <v>18106540</v>
      </c>
      <c r="G21" s="125">
        <f t="shared" si="3"/>
        <v>323756000</v>
      </c>
      <c r="H21" s="125">
        <v>0</v>
      </c>
      <c r="I21" s="125">
        <v>319945</v>
      </c>
      <c r="J21" s="125">
        <v>3811</v>
      </c>
      <c r="K21" s="125">
        <v>16589</v>
      </c>
      <c r="L21" s="125">
        <v>19354</v>
      </c>
      <c r="M21" s="125">
        <v>11757</v>
      </c>
      <c r="N21" s="125">
        <v>17528</v>
      </c>
      <c r="O21" s="125">
        <v>6927</v>
      </c>
      <c r="P21" s="125">
        <v>15560</v>
      </c>
      <c r="Q21" s="125">
        <v>5658</v>
      </c>
      <c r="R21" s="125">
        <v>16814</v>
      </c>
      <c r="S21" s="125">
        <v>16271</v>
      </c>
      <c r="T21" s="125">
        <v>25100</v>
      </c>
      <c r="U21" s="125">
        <v>119098</v>
      </c>
      <c r="V21" s="125">
        <v>106596</v>
      </c>
      <c r="W21" s="125">
        <v>7671</v>
      </c>
      <c r="X21" s="125">
        <v>7837</v>
      </c>
      <c r="Y21" s="125">
        <v>67555</v>
      </c>
      <c r="Z21" s="125">
        <v>67688</v>
      </c>
    </row>
    <row r="22" spans="2:35" x14ac:dyDescent="0.2">
      <c r="B22" s="125" t="s">
        <v>418</v>
      </c>
      <c r="C22" s="125">
        <f t="shared" si="0"/>
        <v>3293.8571428571427</v>
      </c>
      <c r="D22" s="125">
        <f t="shared" si="0"/>
        <v>3158.7142857142858</v>
      </c>
      <c r="E22" s="125">
        <f t="shared" si="1"/>
        <v>2395258.8800000004</v>
      </c>
      <c r="F22" s="125">
        <f t="shared" si="2"/>
        <v>4469390</v>
      </c>
      <c r="G22" s="125">
        <f t="shared" si="3"/>
        <v>24842000</v>
      </c>
      <c r="H22" s="125">
        <v>955</v>
      </c>
      <c r="I22" s="125">
        <v>23518</v>
      </c>
      <c r="J22" s="125">
        <v>369</v>
      </c>
      <c r="K22" s="125">
        <v>3133</v>
      </c>
      <c r="L22" s="125">
        <v>2571</v>
      </c>
      <c r="M22" s="125">
        <v>2438</v>
      </c>
      <c r="N22" s="125">
        <v>3079</v>
      </c>
      <c r="O22" s="125">
        <v>6152</v>
      </c>
      <c r="P22" s="125">
        <v>5970</v>
      </c>
      <c r="Q22" s="125">
        <v>798</v>
      </c>
      <c r="R22" s="125">
        <v>1002</v>
      </c>
      <c r="S22" s="125">
        <v>3539</v>
      </c>
      <c r="T22" s="125">
        <v>3426</v>
      </c>
      <c r="U22" s="125">
        <v>1697</v>
      </c>
      <c r="V22" s="125">
        <v>1697</v>
      </c>
      <c r="W22" s="125">
        <v>5300</v>
      </c>
      <c r="X22" s="125">
        <v>4366</v>
      </c>
      <c r="Y22" s="125">
        <v>16709</v>
      </c>
      <c r="Z22" s="125">
        <v>16708</v>
      </c>
    </row>
    <row r="23" spans="2:35" x14ac:dyDescent="0.2">
      <c r="B23" s="125" t="s">
        <v>419</v>
      </c>
      <c r="C23" s="125">
        <f t="shared" si="0"/>
        <v>1060.1428571428571</v>
      </c>
      <c r="D23" s="125">
        <f t="shared" si="0"/>
        <v>584</v>
      </c>
      <c r="E23" s="125">
        <f t="shared" si="1"/>
        <v>974991.3600000001</v>
      </c>
      <c r="F23" s="125">
        <f t="shared" si="2"/>
        <v>1819267.5</v>
      </c>
      <c r="G23" s="125">
        <f t="shared" si="3"/>
        <v>16588000</v>
      </c>
      <c r="H23" s="125">
        <v>231</v>
      </c>
      <c r="I23" s="125">
        <v>16296</v>
      </c>
      <c r="J23" s="125">
        <v>61</v>
      </c>
      <c r="K23" s="125">
        <v>2666</v>
      </c>
      <c r="L23" s="125">
        <v>873</v>
      </c>
      <c r="M23" s="125">
        <v>395</v>
      </c>
      <c r="N23" s="125">
        <v>392</v>
      </c>
      <c r="O23" s="125">
        <v>597</v>
      </c>
      <c r="P23" s="125">
        <v>596</v>
      </c>
      <c r="Q23" s="125">
        <v>835</v>
      </c>
      <c r="R23" s="125">
        <v>153</v>
      </c>
      <c r="S23" s="125">
        <v>598</v>
      </c>
      <c r="T23" s="125">
        <v>459</v>
      </c>
      <c r="U23" s="125">
        <v>1863</v>
      </c>
      <c r="V23" s="125">
        <v>1377</v>
      </c>
      <c r="W23" s="125">
        <v>467</v>
      </c>
      <c r="X23" s="125">
        <v>238</v>
      </c>
      <c r="Y23" s="125">
        <v>6658</v>
      </c>
      <c r="Z23" s="125">
        <v>6801</v>
      </c>
    </row>
    <row r="24" spans="2:35" x14ac:dyDescent="0.2">
      <c r="B24" s="125" t="s">
        <v>277</v>
      </c>
      <c r="C24" s="125">
        <f t="shared" si="0"/>
        <v>340.42857142857144</v>
      </c>
      <c r="D24" s="125">
        <f t="shared" si="0"/>
        <v>515.71428571428567</v>
      </c>
      <c r="E24" s="125">
        <f t="shared" si="1"/>
        <v>3532103.6800000002</v>
      </c>
      <c r="F24" s="125">
        <f t="shared" si="2"/>
        <v>6590665</v>
      </c>
      <c r="G24" s="125">
        <f t="shared" si="3"/>
        <v>51005000</v>
      </c>
      <c r="H24" s="125">
        <v>1095</v>
      </c>
      <c r="I24" s="125">
        <v>49576</v>
      </c>
      <c r="J24" s="125">
        <v>334</v>
      </c>
      <c r="K24" s="125">
        <v>18</v>
      </c>
      <c r="L24" s="125">
        <v>0</v>
      </c>
      <c r="M24" s="125">
        <v>1581</v>
      </c>
      <c r="N24" s="125">
        <v>2838</v>
      </c>
      <c r="O24" s="125">
        <v>17</v>
      </c>
      <c r="P24" s="125">
        <v>446</v>
      </c>
      <c r="Q24" s="125">
        <v>0</v>
      </c>
      <c r="R24" s="125">
        <v>41</v>
      </c>
      <c r="S24" s="125">
        <v>0</v>
      </c>
      <c r="T24" s="125">
        <v>82</v>
      </c>
      <c r="U24" s="125">
        <v>0</v>
      </c>
      <c r="V24" s="125">
        <v>35</v>
      </c>
      <c r="W24" s="125">
        <v>767</v>
      </c>
      <c r="X24" s="125">
        <v>168</v>
      </c>
      <c r="Y24" s="125">
        <v>24522</v>
      </c>
      <c r="Z24" s="125">
        <v>24638</v>
      </c>
    </row>
    <row r="25" spans="2:35" x14ac:dyDescent="0.2">
      <c r="B25" s="125" t="s">
        <v>349</v>
      </c>
      <c r="C25" s="125">
        <f t="shared" si="0"/>
        <v>19105.142857142859</v>
      </c>
      <c r="D25" s="125">
        <f t="shared" si="0"/>
        <v>17472</v>
      </c>
      <c r="E25" s="125">
        <f t="shared" si="1"/>
        <v>6950809.6000000006</v>
      </c>
      <c r="F25" s="125">
        <f t="shared" si="2"/>
        <v>12969737.5</v>
      </c>
      <c r="G25" s="125">
        <f t="shared" si="3"/>
        <v>158857000</v>
      </c>
      <c r="H25" s="125">
        <v>27550</v>
      </c>
      <c r="I25" s="125">
        <v>113933</v>
      </c>
      <c r="J25" s="125">
        <v>17374</v>
      </c>
      <c r="K25" s="125">
        <v>25874</v>
      </c>
      <c r="L25" s="125">
        <v>18941</v>
      </c>
      <c r="M25" s="125">
        <v>12587</v>
      </c>
      <c r="N25" s="125">
        <v>11246</v>
      </c>
      <c r="O25" s="125">
        <v>10254</v>
      </c>
      <c r="P25" s="125">
        <v>12177</v>
      </c>
      <c r="Q25" s="125">
        <v>13381</v>
      </c>
      <c r="R25" s="125">
        <v>10195</v>
      </c>
      <c r="S25" s="125">
        <v>18140</v>
      </c>
      <c r="T25" s="125">
        <v>18601</v>
      </c>
      <c r="U25" s="125">
        <v>21224</v>
      </c>
      <c r="V25" s="125">
        <v>19493</v>
      </c>
      <c r="W25" s="125">
        <v>32276</v>
      </c>
      <c r="X25" s="125">
        <v>31651</v>
      </c>
      <c r="Y25" s="125">
        <v>48344</v>
      </c>
      <c r="Z25" s="125">
        <v>48485</v>
      </c>
    </row>
    <row r="26" spans="2:35" x14ac:dyDescent="0.2">
      <c r="B26" s="125" t="s">
        <v>226</v>
      </c>
      <c r="C26" s="125">
        <f t="shared" si="0"/>
        <v>29055.142857142859</v>
      </c>
      <c r="D26" s="125">
        <f t="shared" si="0"/>
        <v>32558.571428571428</v>
      </c>
      <c r="E26" s="125">
        <f t="shared" si="1"/>
        <v>8222842.8800000008</v>
      </c>
      <c r="F26" s="125">
        <f t="shared" si="2"/>
        <v>15343265</v>
      </c>
      <c r="G26" s="125">
        <f t="shared" si="3"/>
        <v>180323000</v>
      </c>
      <c r="H26" s="125">
        <v>851</v>
      </c>
      <c r="I26" s="125">
        <v>179385</v>
      </c>
      <c r="J26" s="125">
        <v>87</v>
      </c>
      <c r="K26" s="125">
        <v>25217</v>
      </c>
      <c r="L26" s="125">
        <v>26918</v>
      </c>
      <c r="M26" s="125">
        <v>18747</v>
      </c>
      <c r="N26" s="125">
        <v>17894</v>
      </c>
      <c r="O26" s="125">
        <v>33092</v>
      </c>
      <c r="P26" s="125">
        <v>65289</v>
      </c>
      <c r="Q26" s="125">
        <v>40872</v>
      </c>
      <c r="R26" s="125">
        <v>40870</v>
      </c>
      <c r="S26" s="125">
        <v>29456</v>
      </c>
      <c r="T26" s="125">
        <v>33080</v>
      </c>
      <c r="U26" s="125">
        <v>15802</v>
      </c>
      <c r="V26" s="125">
        <v>15940</v>
      </c>
      <c r="W26" s="125">
        <v>40200</v>
      </c>
      <c r="X26" s="125">
        <v>27919</v>
      </c>
      <c r="Y26" s="125">
        <v>56371</v>
      </c>
      <c r="Z26" s="125">
        <v>57358</v>
      </c>
    </row>
    <row r="27" spans="2:35" x14ac:dyDescent="0.2">
      <c r="B27" s="125" t="s">
        <v>157</v>
      </c>
      <c r="C27" s="125">
        <f t="shared" si="0"/>
        <v>473.71428571428572</v>
      </c>
      <c r="D27" s="125">
        <f t="shared" si="0"/>
        <v>721.85714285714289</v>
      </c>
      <c r="E27" s="125">
        <f t="shared" si="1"/>
        <v>1502126.0800000001</v>
      </c>
      <c r="F27" s="125">
        <f t="shared" si="2"/>
        <v>2802865</v>
      </c>
      <c r="G27" s="125">
        <f t="shared" si="3"/>
        <v>18630000</v>
      </c>
      <c r="H27" s="125">
        <v>29</v>
      </c>
      <c r="I27" s="125">
        <v>18523</v>
      </c>
      <c r="J27" s="125">
        <v>78</v>
      </c>
      <c r="K27" s="125">
        <v>725</v>
      </c>
      <c r="L27" s="125">
        <v>515</v>
      </c>
      <c r="M27" s="125">
        <v>818</v>
      </c>
      <c r="N27" s="125">
        <v>1978</v>
      </c>
      <c r="O27" s="125">
        <v>326</v>
      </c>
      <c r="P27" s="125">
        <v>498</v>
      </c>
      <c r="Q27" s="125">
        <v>324</v>
      </c>
      <c r="R27" s="125">
        <v>516</v>
      </c>
      <c r="S27" s="125">
        <v>465</v>
      </c>
      <c r="T27" s="125">
        <v>674</v>
      </c>
      <c r="U27" s="125">
        <v>355</v>
      </c>
      <c r="V27" s="125">
        <v>416</v>
      </c>
      <c r="W27" s="125">
        <v>303</v>
      </c>
      <c r="X27" s="125">
        <v>456</v>
      </c>
      <c r="Y27" s="125">
        <v>10480</v>
      </c>
      <c r="Z27" s="125">
        <v>10478</v>
      </c>
    </row>
    <row r="28" spans="2:35" x14ac:dyDescent="0.2">
      <c r="B28" s="125" t="s">
        <v>479</v>
      </c>
      <c r="C28" s="125">
        <f t="shared" si="0"/>
        <v>1413.8571428571429</v>
      </c>
      <c r="D28" s="125">
        <f t="shared" si="0"/>
        <v>1467.5714285714287</v>
      </c>
      <c r="E28" s="125">
        <f t="shared" si="1"/>
        <v>2279710.7200000002</v>
      </c>
      <c r="F28" s="125">
        <f t="shared" si="2"/>
        <v>4253785</v>
      </c>
      <c r="G28" s="125">
        <f t="shared" si="3"/>
        <v>21632000</v>
      </c>
      <c r="H28" s="125">
        <v>31</v>
      </c>
      <c r="I28" s="125">
        <v>21471</v>
      </c>
      <c r="J28" s="125">
        <v>130</v>
      </c>
      <c r="K28" s="125">
        <v>1518</v>
      </c>
      <c r="L28" s="125">
        <v>1635</v>
      </c>
      <c r="M28" s="125">
        <v>1399</v>
      </c>
      <c r="N28" s="125">
        <v>1507</v>
      </c>
      <c r="O28" s="125">
        <v>1111</v>
      </c>
      <c r="P28" s="125">
        <v>1394</v>
      </c>
      <c r="Q28" s="125">
        <v>688</v>
      </c>
      <c r="R28" s="125">
        <v>1190</v>
      </c>
      <c r="S28" s="125">
        <v>1832</v>
      </c>
      <c r="T28" s="125">
        <v>1680</v>
      </c>
      <c r="U28" s="125">
        <v>1546</v>
      </c>
      <c r="V28" s="125">
        <v>1287</v>
      </c>
      <c r="W28" s="125">
        <v>1803</v>
      </c>
      <c r="X28" s="125">
        <v>1580</v>
      </c>
      <c r="Y28" s="125">
        <v>15945</v>
      </c>
      <c r="Z28" s="125">
        <v>15902</v>
      </c>
    </row>
    <row r="29" spans="2:35" x14ac:dyDescent="0.2">
      <c r="B29" s="125" t="s">
        <v>305</v>
      </c>
      <c r="C29" s="125">
        <f t="shared" si="0"/>
        <v>9171.4285714285706</v>
      </c>
      <c r="D29" s="125">
        <f t="shared" si="0"/>
        <v>8651.5714285714294</v>
      </c>
      <c r="E29" s="125">
        <f t="shared" si="1"/>
        <v>1368801.28</v>
      </c>
      <c r="F29" s="125">
        <f t="shared" si="2"/>
        <v>2554090</v>
      </c>
      <c r="G29" s="125">
        <f t="shared" si="3"/>
        <v>19633000</v>
      </c>
      <c r="H29" s="125">
        <v>39</v>
      </c>
      <c r="I29" s="125">
        <v>19364</v>
      </c>
      <c r="J29" s="125">
        <v>230</v>
      </c>
      <c r="K29" s="125">
        <v>11057</v>
      </c>
      <c r="L29" s="125">
        <v>12358</v>
      </c>
      <c r="M29" s="125">
        <v>27117</v>
      </c>
      <c r="N29" s="125">
        <v>23159</v>
      </c>
      <c r="O29" s="125">
        <v>9533</v>
      </c>
      <c r="P29" s="125">
        <v>8891</v>
      </c>
      <c r="Q29" s="125">
        <v>6891</v>
      </c>
      <c r="R29" s="125">
        <v>6185</v>
      </c>
      <c r="S29" s="125">
        <v>6189</v>
      </c>
      <c r="T29" s="125">
        <v>6405</v>
      </c>
      <c r="U29" s="125">
        <v>2298</v>
      </c>
      <c r="V29" s="125">
        <v>2348</v>
      </c>
      <c r="W29" s="125">
        <v>1115</v>
      </c>
      <c r="X29" s="125">
        <v>1215</v>
      </c>
      <c r="Y29" s="125">
        <v>9208</v>
      </c>
      <c r="Z29" s="125">
        <v>9548</v>
      </c>
    </row>
    <row r="30" spans="2:35" x14ac:dyDescent="0.2">
      <c r="B30" s="125" t="s">
        <v>480</v>
      </c>
      <c r="C30" s="125">
        <f t="shared" si="0"/>
        <v>1499.1428571428571</v>
      </c>
      <c r="D30" s="125">
        <f t="shared" si="0"/>
        <v>1415</v>
      </c>
      <c r="E30" s="125">
        <f t="shared" si="1"/>
        <v>1927618.5600000003</v>
      </c>
      <c r="F30" s="125">
        <f t="shared" si="2"/>
        <v>3596805</v>
      </c>
      <c r="G30" s="125">
        <f t="shared" si="3"/>
        <v>19021000</v>
      </c>
      <c r="H30" s="125">
        <v>654</v>
      </c>
      <c r="I30" s="125">
        <v>17953</v>
      </c>
      <c r="J30" s="125">
        <v>414</v>
      </c>
      <c r="K30" s="125">
        <v>461</v>
      </c>
      <c r="L30" s="125">
        <v>386</v>
      </c>
      <c r="M30" s="125">
        <v>490</v>
      </c>
      <c r="N30" s="125">
        <v>437</v>
      </c>
      <c r="O30" s="125">
        <v>659</v>
      </c>
      <c r="P30" s="125">
        <v>623</v>
      </c>
      <c r="Q30" s="125">
        <v>3310</v>
      </c>
      <c r="R30" s="125">
        <v>3297</v>
      </c>
      <c r="S30" s="125">
        <v>1296</v>
      </c>
      <c r="T30" s="125">
        <v>1072</v>
      </c>
      <c r="U30" s="125">
        <v>2666</v>
      </c>
      <c r="V30" s="125">
        <v>2726</v>
      </c>
      <c r="W30" s="125">
        <v>1612</v>
      </c>
      <c r="X30" s="125">
        <v>1364</v>
      </c>
      <c r="Y30" s="125">
        <v>13407</v>
      </c>
      <c r="Z30" s="125">
        <v>13446</v>
      </c>
    </row>
    <row r="31" spans="2:35" x14ac:dyDescent="0.2">
      <c r="B31" s="125" t="s">
        <v>639</v>
      </c>
      <c r="C31" s="125">
        <f t="shared" si="0"/>
        <v>4556.4285714285716</v>
      </c>
      <c r="D31" s="125">
        <f t="shared" si="0"/>
        <v>4850.4285714285716</v>
      </c>
      <c r="E31" s="125">
        <f t="shared" si="1"/>
        <v>4981473.2800000003</v>
      </c>
      <c r="F31" s="125">
        <f t="shared" si="2"/>
        <v>9295090</v>
      </c>
      <c r="G31" s="125">
        <f t="shared" si="3"/>
        <v>70216000</v>
      </c>
      <c r="H31" s="125">
        <v>2378</v>
      </c>
      <c r="I31" s="125">
        <v>67275</v>
      </c>
      <c r="J31" s="125">
        <v>563</v>
      </c>
      <c r="K31" s="125">
        <v>5645</v>
      </c>
      <c r="L31" s="125">
        <v>5843</v>
      </c>
      <c r="M31" s="125">
        <v>6365</v>
      </c>
      <c r="N31" s="125">
        <v>5708</v>
      </c>
      <c r="O31" s="125">
        <v>4180</v>
      </c>
      <c r="P31" s="125">
        <v>4161</v>
      </c>
      <c r="Q31" s="125">
        <v>5403</v>
      </c>
      <c r="R31" s="125">
        <v>5824</v>
      </c>
      <c r="S31" s="125">
        <v>2465</v>
      </c>
      <c r="T31" s="125">
        <v>4041</v>
      </c>
      <c r="U31" s="125">
        <v>3374</v>
      </c>
      <c r="V31" s="125">
        <v>3946</v>
      </c>
      <c r="W31" s="125">
        <v>4463</v>
      </c>
      <c r="X31" s="125">
        <v>4430</v>
      </c>
      <c r="Y31" s="125">
        <v>34803</v>
      </c>
      <c r="Z31" s="125">
        <v>34748</v>
      </c>
      <c r="AH31" s="259"/>
      <c r="AI31" s="259"/>
    </row>
    <row r="32" spans="2:35" x14ac:dyDescent="0.2">
      <c r="B32" s="125" t="s">
        <v>420</v>
      </c>
      <c r="C32" s="125">
        <f t="shared" si="0"/>
        <v>9193.4285714285706</v>
      </c>
      <c r="D32" s="125">
        <f t="shared" si="0"/>
        <v>9109.5714285714294</v>
      </c>
      <c r="E32" s="125">
        <f t="shared" si="1"/>
        <v>2636963.8400000003</v>
      </c>
      <c r="F32" s="125">
        <f t="shared" si="2"/>
        <v>4920395</v>
      </c>
      <c r="G32" s="125">
        <f t="shared" si="3"/>
        <v>31106000</v>
      </c>
      <c r="H32" s="125">
        <v>155</v>
      </c>
      <c r="I32" s="125">
        <v>30766</v>
      </c>
      <c r="J32" s="125">
        <v>185</v>
      </c>
      <c r="K32" s="125">
        <v>10002</v>
      </c>
      <c r="L32" s="125">
        <v>10057</v>
      </c>
      <c r="M32" s="125">
        <v>12340</v>
      </c>
      <c r="N32" s="125">
        <v>12303</v>
      </c>
      <c r="O32" s="125">
        <v>19222</v>
      </c>
      <c r="P32" s="125">
        <v>19190</v>
      </c>
      <c r="Q32" s="125">
        <v>6783</v>
      </c>
      <c r="R32" s="125">
        <v>7312</v>
      </c>
      <c r="S32" s="125">
        <v>4899</v>
      </c>
      <c r="T32" s="125">
        <v>6704</v>
      </c>
      <c r="U32" s="125">
        <v>5497</v>
      </c>
      <c r="V32" s="125">
        <v>3141</v>
      </c>
      <c r="W32" s="125">
        <v>5611</v>
      </c>
      <c r="X32" s="125">
        <v>5060</v>
      </c>
      <c r="Y32" s="125">
        <v>18352</v>
      </c>
      <c r="Z32" s="125">
        <v>18394</v>
      </c>
    </row>
    <row r="33" spans="2:26" x14ac:dyDescent="0.2">
      <c r="B33" s="125" t="s">
        <v>519</v>
      </c>
      <c r="C33" s="125">
        <f t="shared" si="0"/>
        <v>883.57142857142856</v>
      </c>
      <c r="D33" s="125">
        <f t="shared" si="0"/>
        <v>874.57142857142856</v>
      </c>
      <c r="E33" s="125">
        <f t="shared" si="1"/>
        <v>1879449.6000000001</v>
      </c>
      <c r="F33" s="125">
        <f t="shared" si="2"/>
        <v>3506925</v>
      </c>
      <c r="G33" s="125">
        <f t="shared" si="3"/>
        <v>16266000</v>
      </c>
      <c r="H33" s="125">
        <v>0</v>
      </c>
      <c r="I33" s="125">
        <v>15478</v>
      </c>
      <c r="J33" s="125">
        <v>788</v>
      </c>
      <c r="K33" s="125">
        <v>1456</v>
      </c>
      <c r="L33" s="125">
        <v>1554</v>
      </c>
      <c r="M33" s="125">
        <v>1654</v>
      </c>
      <c r="N33" s="125">
        <v>1760</v>
      </c>
      <c r="O33" s="125">
        <v>934</v>
      </c>
      <c r="P33" s="125">
        <v>1251</v>
      </c>
      <c r="Q33" s="125">
        <v>917</v>
      </c>
      <c r="R33" s="125">
        <v>1060</v>
      </c>
      <c r="S33" s="125">
        <v>42</v>
      </c>
      <c r="T33" s="125">
        <v>188</v>
      </c>
      <c r="U33" s="125">
        <v>30</v>
      </c>
      <c r="V33" s="125">
        <v>106</v>
      </c>
      <c r="W33" s="125">
        <v>1152</v>
      </c>
      <c r="X33" s="125">
        <v>203</v>
      </c>
      <c r="Y33" s="125">
        <v>13095</v>
      </c>
      <c r="Z33" s="125">
        <v>13110</v>
      </c>
    </row>
    <row r="34" spans="2:26" x14ac:dyDescent="0.2">
      <c r="B34" s="125" t="s">
        <v>520</v>
      </c>
      <c r="C34" s="125">
        <f t="shared" si="0"/>
        <v>2225.4285714285716</v>
      </c>
      <c r="D34" s="125">
        <f t="shared" si="0"/>
        <v>2063.5714285714284</v>
      </c>
      <c r="E34" s="125">
        <f t="shared" si="1"/>
        <v>4292341.7600000007</v>
      </c>
      <c r="F34" s="125">
        <f t="shared" si="2"/>
        <v>8009217.5</v>
      </c>
      <c r="G34" s="125">
        <f t="shared" si="3"/>
        <v>90710000</v>
      </c>
      <c r="H34" s="125">
        <v>89</v>
      </c>
      <c r="I34" s="125">
        <v>90117</v>
      </c>
      <c r="J34" s="125">
        <v>504</v>
      </c>
      <c r="K34" s="125">
        <v>612</v>
      </c>
      <c r="L34" s="125">
        <v>698</v>
      </c>
      <c r="M34" s="125">
        <v>3964</v>
      </c>
      <c r="N34" s="125">
        <v>6090</v>
      </c>
      <c r="O34" s="125">
        <v>1375</v>
      </c>
      <c r="P34" s="125">
        <v>510</v>
      </c>
      <c r="Q34" s="125">
        <v>4564</v>
      </c>
      <c r="R34" s="125">
        <v>1737</v>
      </c>
      <c r="S34" s="125">
        <v>1913</v>
      </c>
      <c r="T34" s="125">
        <v>3670</v>
      </c>
      <c r="U34" s="125">
        <v>1944</v>
      </c>
      <c r="V34" s="125">
        <v>836</v>
      </c>
      <c r="W34" s="125">
        <v>1206</v>
      </c>
      <c r="X34" s="125">
        <v>904</v>
      </c>
      <c r="Y34" s="125">
        <v>29839</v>
      </c>
      <c r="Z34" s="125">
        <v>29941</v>
      </c>
    </row>
    <row r="35" spans="2:26" x14ac:dyDescent="0.2">
      <c r="B35" s="125" t="s">
        <v>421</v>
      </c>
      <c r="C35" s="125">
        <f t="shared" si="0"/>
        <v>50422.428571428572</v>
      </c>
      <c r="D35" s="125">
        <f t="shared" si="0"/>
        <v>56953.285714285717</v>
      </c>
      <c r="E35" s="125">
        <f t="shared" si="1"/>
        <v>9509212.1600000001</v>
      </c>
      <c r="F35" s="125">
        <f t="shared" si="2"/>
        <v>17743542.5</v>
      </c>
      <c r="G35" s="125">
        <f t="shared" si="3"/>
        <v>224389000</v>
      </c>
      <c r="H35" s="125">
        <v>363</v>
      </c>
      <c r="I35" s="125">
        <v>222152</v>
      </c>
      <c r="J35" s="125">
        <v>1874</v>
      </c>
      <c r="K35" s="125">
        <v>75379</v>
      </c>
      <c r="L35" s="125">
        <v>89926</v>
      </c>
      <c r="M35" s="125">
        <v>128525</v>
      </c>
      <c r="N35" s="125">
        <v>139224</v>
      </c>
      <c r="O35" s="125">
        <v>31487</v>
      </c>
      <c r="P35" s="125">
        <v>11063</v>
      </c>
      <c r="Q35" s="125">
        <v>30041</v>
      </c>
      <c r="R35" s="125">
        <v>28675</v>
      </c>
      <c r="S35" s="125">
        <v>22401</v>
      </c>
      <c r="T35" s="125">
        <v>65284</v>
      </c>
      <c r="U35" s="125">
        <v>6572</v>
      </c>
      <c r="V35" s="125">
        <v>3225</v>
      </c>
      <c r="W35" s="125">
        <v>58552</v>
      </c>
      <c r="X35" s="125">
        <v>61276</v>
      </c>
      <c r="Y35" s="125">
        <v>66211</v>
      </c>
      <c r="Z35" s="125">
        <v>66331</v>
      </c>
    </row>
    <row r="36" spans="2:26" x14ac:dyDescent="0.2">
      <c r="B36" s="125" t="s">
        <v>227</v>
      </c>
      <c r="C36" s="125">
        <f t="shared" si="0"/>
        <v>3681.4285714285716</v>
      </c>
      <c r="D36" s="125">
        <f t="shared" si="0"/>
        <v>4786.5714285714284</v>
      </c>
      <c r="E36" s="125">
        <f t="shared" si="1"/>
        <v>6313431.040000001</v>
      </c>
      <c r="F36" s="125">
        <f t="shared" si="2"/>
        <v>11780432.5</v>
      </c>
      <c r="G36" s="125">
        <f t="shared" si="3"/>
        <v>89549000</v>
      </c>
      <c r="H36" s="125">
        <v>2921</v>
      </c>
      <c r="I36" s="125">
        <v>83899</v>
      </c>
      <c r="J36" s="125">
        <v>2729</v>
      </c>
      <c r="K36" s="125">
        <v>7684</v>
      </c>
      <c r="L36" s="125">
        <v>13062</v>
      </c>
      <c r="M36" s="125">
        <v>5615</v>
      </c>
      <c r="N36" s="125">
        <v>5455</v>
      </c>
      <c r="O36" s="125">
        <v>3410</v>
      </c>
      <c r="P36" s="125">
        <v>3960</v>
      </c>
      <c r="Q36" s="125">
        <v>4987</v>
      </c>
      <c r="R36" s="125">
        <v>6404</v>
      </c>
      <c r="S36" s="125">
        <v>1652</v>
      </c>
      <c r="T36" s="125">
        <v>2184</v>
      </c>
      <c r="U36" s="125">
        <v>1468</v>
      </c>
      <c r="V36" s="125">
        <v>1556</v>
      </c>
      <c r="W36" s="125">
        <v>954</v>
      </c>
      <c r="X36" s="125">
        <v>885</v>
      </c>
      <c r="Y36" s="125">
        <v>44231</v>
      </c>
      <c r="Z36" s="125">
        <v>44039</v>
      </c>
    </row>
    <row r="37" spans="2:26" x14ac:dyDescent="0.2">
      <c r="B37" s="125" t="s">
        <v>422</v>
      </c>
      <c r="C37" s="125">
        <f t="shared" si="0"/>
        <v>10896.571428571429</v>
      </c>
      <c r="D37" s="125">
        <f t="shared" si="0"/>
        <v>11824.428571428571</v>
      </c>
      <c r="E37" s="125">
        <f t="shared" si="1"/>
        <v>4379934.7200000007</v>
      </c>
      <c r="F37" s="125">
        <f t="shared" si="2"/>
        <v>8172660</v>
      </c>
      <c r="G37" s="125">
        <f t="shared" si="3"/>
        <v>48393000</v>
      </c>
      <c r="H37" s="125">
        <v>0</v>
      </c>
      <c r="I37" s="125">
        <v>45959</v>
      </c>
      <c r="J37" s="125">
        <v>2434</v>
      </c>
      <c r="K37" s="125">
        <v>16803</v>
      </c>
      <c r="L37" s="125">
        <v>18798</v>
      </c>
      <c r="M37" s="125">
        <v>9845</v>
      </c>
      <c r="N37" s="125">
        <v>9618</v>
      </c>
      <c r="O37" s="125">
        <v>13688</v>
      </c>
      <c r="P37" s="125">
        <v>18470</v>
      </c>
      <c r="Q37" s="125">
        <v>7744</v>
      </c>
      <c r="R37" s="125">
        <v>6479</v>
      </c>
      <c r="S37" s="125">
        <v>11024</v>
      </c>
      <c r="T37" s="125">
        <v>10775</v>
      </c>
      <c r="U37" s="125">
        <v>9142</v>
      </c>
      <c r="V37" s="125">
        <v>8396</v>
      </c>
      <c r="W37" s="125">
        <v>8030</v>
      </c>
      <c r="X37" s="125">
        <v>10235</v>
      </c>
      <c r="Y37" s="125">
        <v>30256</v>
      </c>
      <c r="Z37" s="125">
        <v>30552</v>
      </c>
    </row>
    <row r="38" spans="2:26" x14ac:dyDescent="0.2">
      <c r="B38" s="125" t="s">
        <v>423</v>
      </c>
      <c r="C38" s="125">
        <f t="shared" si="0"/>
        <v>12435.142857142857</v>
      </c>
      <c r="D38" s="125">
        <f t="shared" si="0"/>
        <v>16100.857142857143</v>
      </c>
      <c r="E38" s="125">
        <f t="shared" si="1"/>
        <v>4228259.8400000008</v>
      </c>
      <c r="F38" s="125">
        <f t="shared" si="2"/>
        <v>7889645</v>
      </c>
      <c r="G38" s="125">
        <f t="shared" si="3"/>
        <v>47406000</v>
      </c>
      <c r="H38" s="125">
        <v>16</v>
      </c>
      <c r="I38" s="125">
        <v>46390</v>
      </c>
      <c r="J38" s="125">
        <v>1000</v>
      </c>
      <c r="K38" s="125">
        <v>15156</v>
      </c>
      <c r="L38" s="125">
        <v>20966</v>
      </c>
      <c r="M38" s="125">
        <v>9681</v>
      </c>
      <c r="N38" s="125">
        <v>23577</v>
      </c>
      <c r="O38" s="125">
        <v>15720</v>
      </c>
      <c r="P38" s="125">
        <v>31540</v>
      </c>
      <c r="Q38" s="125">
        <v>9067</v>
      </c>
      <c r="R38" s="125">
        <v>11899</v>
      </c>
      <c r="S38" s="125">
        <v>11600</v>
      </c>
      <c r="T38" s="125">
        <v>8186</v>
      </c>
      <c r="U38" s="125">
        <v>8661</v>
      </c>
      <c r="V38" s="125">
        <v>7421</v>
      </c>
      <c r="W38" s="125">
        <v>17161</v>
      </c>
      <c r="X38" s="125">
        <v>9117</v>
      </c>
      <c r="Y38" s="125">
        <v>29175</v>
      </c>
      <c r="Z38" s="125">
        <v>29494</v>
      </c>
    </row>
    <row r="39" spans="2:26" x14ac:dyDescent="0.2">
      <c r="B39" s="125" t="s">
        <v>228</v>
      </c>
      <c r="C39" s="125">
        <f t="shared" si="0"/>
        <v>18675</v>
      </c>
      <c r="D39" s="125">
        <f t="shared" si="0"/>
        <v>22605.285714285714</v>
      </c>
      <c r="E39" s="125">
        <f t="shared" si="1"/>
        <v>3698831.3600000003</v>
      </c>
      <c r="F39" s="125">
        <f t="shared" si="2"/>
        <v>6901767.5</v>
      </c>
      <c r="G39" s="125">
        <f t="shared" si="3"/>
        <v>45278000</v>
      </c>
      <c r="H39" s="125">
        <v>4494</v>
      </c>
      <c r="I39" s="125">
        <v>40784</v>
      </c>
      <c r="J39" s="125">
        <v>0</v>
      </c>
      <c r="K39" s="125">
        <v>29974</v>
      </c>
      <c r="L39" s="125">
        <v>62104</v>
      </c>
      <c r="M39" s="125">
        <v>8075</v>
      </c>
      <c r="N39" s="125">
        <v>14370</v>
      </c>
      <c r="O39" s="125">
        <v>8274</v>
      </c>
      <c r="P39" s="125">
        <v>8087</v>
      </c>
      <c r="Q39" s="125">
        <v>11338</v>
      </c>
      <c r="R39" s="125">
        <v>12554</v>
      </c>
      <c r="S39" s="125">
        <v>23512</v>
      </c>
      <c r="T39" s="125">
        <v>16514</v>
      </c>
      <c r="U39" s="125">
        <v>31449</v>
      </c>
      <c r="V39" s="125">
        <v>31314</v>
      </c>
      <c r="W39" s="125">
        <v>18103</v>
      </c>
      <c r="X39" s="125">
        <v>13294</v>
      </c>
      <c r="Y39" s="125">
        <v>25426</v>
      </c>
      <c r="Z39" s="125">
        <v>25801</v>
      </c>
    </row>
    <row r="40" spans="2:26" x14ac:dyDescent="0.2">
      <c r="B40" s="125" t="s">
        <v>306</v>
      </c>
      <c r="C40" s="125">
        <f t="shared" si="0"/>
        <v>6709.2857142857147</v>
      </c>
      <c r="D40" s="125">
        <f t="shared" si="0"/>
        <v>6113.7142857142853</v>
      </c>
      <c r="E40" s="125">
        <f t="shared" si="1"/>
        <v>5890088.9600000009</v>
      </c>
      <c r="F40" s="125">
        <f t="shared" si="2"/>
        <v>10990505</v>
      </c>
      <c r="G40" s="125">
        <f t="shared" si="3"/>
        <v>103242000</v>
      </c>
      <c r="H40" s="125">
        <v>2218</v>
      </c>
      <c r="I40" s="125">
        <v>100601</v>
      </c>
      <c r="J40" s="125">
        <v>423</v>
      </c>
      <c r="K40" s="125">
        <v>9109</v>
      </c>
      <c r="L40" s="125">
        <v>8471</v>
      </c>
      <c r="M40" s="125">
        <v>20492</v>
      </c>
      <c r="N40" s="125">
        <v>16306</v>
      </c>
      <c r="O40" s="125">
        <v>2157</v>
      </c>
      <c r="P40" s="125">
        <v>3350</v>
      </c>
      <c r="Q40" s="125">
        <v>2604</v>
      </c>
      <c r="R40" s="125">
        <v>2758</v>
      </c>
      <c r="S40" s="125">
        <v>3650</v>
      </c>
      <c r="T40" s="125">
        <v>2346</v>
      </c>
      <c r="U40" s="125">
        <v>5587</v>
      </c>
      <c r="V40" s="125">
        <v>3038</v>
      </c>
      <c r="W40" s="125">
        <v>3366</v>
      </c>
      <c r="X40" s="125">
        <v>6527</v>
      </c>
      <c r="Y40" s="125">
        <v>40696</v>
      </c>
      <c r="Z40" s="125">
        <v>41086</v>
      </c>
    </row>
    <row r="41" spans="2:26" x14ac:dyDescent="0.2">
      <c r="B41" s="125" t="s">
        <v>350</v>
      </c>
      <c r="C41" s="125">
        <f t="shared" si="0"/>
        <v>3900.2857142857142</v>
      </c>
      <c r="D41" s="125">
        <f t="shared" si="0"/>
        <v>4935.8571428571431</v>
      </c>
      <c r="E41" s="125">
        <f t="shared" si="1"/>
        <v>4172779.5200000005</v>
      </c>
      <c r="F41" s="125">
        <f t="shared" si="2"/>
        <v>7786122.5</v>
      </c>
      <c r="G41" s="125">
        <f t="shared" si="3"/>
        <v>49299000</v>
      </c>
      <c r="H41" s="125">
        <v>56</v>
      </c>
      <c r="I41" s="125">
        <v>45043</v>
      </c>
      <c r="J41" s="125">
        <v>4200</v>
      </c>
      <c r="K41" s="125">
        <v>9062</v>
      </c>
      <c r="L41" s="125">
        <v>9510</v>
      </c>
      <c r="M41" s="125">
        <v>4621</v>
      </c>
      <c r="N41" s="125">
        <v>7855</v>
      </c>
      <c r="O41" s="125">
        <v>4506</v>
      </c>
      <c r="P41" s="125">
        <v>6177</v>
      </c>
      <c r="Q41" s="125">
        <v>1563</v>
      </c>
      <c r="R41" s="125">
        <v>3334</v>
      </c>
      <c r="S41" s="125">
        <v>2693</v>
      </c>
      <c r="T41" s="125">
        <v>3057</v>
      </c>
      <c r="U41" s="125">
        <v>3312</v>
      </c>
      <c r="V41" s="125">
        <v>2832</v>
      </c>
      <c r="W41" s="125">
        <v>1545</v>
      </c>
      <c r="X41" s="125">
        <v>1786</v>
      </c>
      <c r="Y41" s="125">
        <v>29122</v>
      </c>
      <c r="Z41" s="125">
        <v>29107</v>
      </c>
    </row>
    <row r="42" spans="2:26" x14ac:dyDescent="0.2">
      <c r="B42" s="125" t="s">
        <v>424</v>
      </c>
      <c r="C42" s="125">
        <f t="shared" si="0"/>
        <v>2943.1428571428573</v>
      </c>
      <c r="D42" s="125">
        <f t="shared" si="0"/>
        <v>2873.2857142857142</v>
      </c>
      <c r="E42" s="125">
        <f t="shared" si="1"/>
        <v>2887987.2000000002</v>
      </c>
      <c r="F42" s="125">
        <f t="shared" si="2"/>
        <v>5388787.5</v>
      </c>
      <c r="G42" s="125">
        <f t="shared" si="3"/>
        <v>45035000</v>
      </c>
      <c r="H42" s="125">
        <v>7108</v>
      </c>
      <c r="I42" s="125">
        <v>37927</v>
      </c>
      <c r="J42" s="125">
        <v>0</v>
      </c>
      <c r="K42" s="125">
        <v>2652</v>
      </c>
      <c r="L42" s="125">
        <v>4025</v>
      </c>
      <c r="M42" s="125">
        <v>5229</v>
      </c>
      <c r="N42" s="125">
        <v>5053</v>
      </c>
      <c r="O42" s="125">
        <v>2085</v>
      </c>
      <c r="P42" s="125">
        <v>2501</v>
      </c>
      <c r="Q42" s="125">
        <v>2871</v>
      </c>
      <c r="R42" s="125">
        <v>3924</v>
      </c>
      <c r="S42" s="125">
        <v>2140</v>
      </c>
      <c r="T42" s="125">
        <v>1656</v>
      </c>
      <c r="U42" s="125">
        <v>2594</v>
      </c>
      <c r="V42" s="125">
        <v>1735</v>
      </c>
      <c r="W42" s="125">
        <v>3031</v>
      </c>
      <c r="X42" s="125">
        <v>1219</v>
      </c>
      <c r="Y42" s="125">
        <v>20061</v>
      </c>
      <c r="Z42" s="125">
        <v>20145</v>
      </c>
    </row>
    <row r="43" spans="2:26" x14ac:dyDescent="0.2">
      <c r="B43" s="125" t="s">
        <v>307</v>
      </c>
      <c r="C43" s="125">
        <f t="shared" si="0"/>
        <v>10740.142857142857</v>
      </c>
      <c r="D43" s="125">
        <f t="shared" si="0"/>
        <v>10522.428571428571</v>
      </c>
      <c r="E43" s="125">
        <f t="shared" si="1"/>
        <v>1548001.2800000003</v>
      </c>
      <c r="F43" s="125">
        <f t="shared" si="2"/>
        <v>2888465</v>
      </c>
      <c r="G43" s="125">
        <f t="shared" si="3"/>
        <v>21258000</v>
      </c>
      <c r="H43" s="125">
        <v>0</v>
      </c>
      <c r="I43" s="125">
        <v>21258</v>
      </c>
      <c r="J43" s="125">
        <v>0</v>
      </c>
      <c r="K43" s="125">
        <v>9259</v>
      </c>
      <c r="L43" s="125">
        <v>8089</v>
      </c>
      <c r="M43" s="125">
        <v>9680</v>
      </c>
      <c r="N43" s="125">
        <v>8631</v>
      </c>
      <c r="O43" s="125">
        <v>6632</v>
      </c>
      <c r="P43" s="125">
        <v>6756</v>
      </c>
      <c r="Q43" s="125">
        <v>6145</v>
      </c>
      <c r="R43" s="125">
        <v>6325</v>
      </c>
      <c r="S43" s="125">
        <v>6445</v>
      </c>
      <c r="T43" s="125">
        <v>6590</v>
      </c>
      <c r="U43" s="125">
        <v>15071</v>
      </c>
      <c r="V43" s="125">
        <v>15180</v>
      </c>
      <c r="W43" s="125">
        <v>21949</v>
      </c>
      <c r="X43" s="125">
        <v>22086</v>
      </c>
      <c r="Y43" s="125">
        <v>10194</v>
      </c>
      <c r="Z43" s="125">
        <v>10798</v>
      </c>
    </row>
    <row r="44" spans="2:26" x14ac:dyDescent="0.2">
      <c r="B44" s="125" t="s">
        <v>308</v>
      </c>
      <c r="C44" s="125">
        <f t="shared" si="0"/>
        <v>5281.8571428571431</v>
      </c>
      <c r="D44" s="125">
        <f t="shared" si="0"/>
        <v>5130.5714285714284</v>
      </c>
      <c r="E44" s="125">
        <f t="shared" si="1"/>
        <v>3326382.0800000005</v>
      </c>
      <c r="F44" s="125">
        <f t="shared" si="2"/>
        <v>6206802.5</v>
      </c>
      <c r="G44" s="125">
        <f t="shared" si="3"/>
        <v>52208000</v>
      </c>
      <c r="H44" s="125">
        <v>0</v>
      </c>
      <c r="I44" s="125">
        <v>51829</v>
      </c>
      <c r="J44" s="125">
        <v>379</v>
      </c>
      <c r="K44" s="125">
        <v>2986</v>
      </c>
      <c r="L44" s="125">
        <v>2196</v>
      </c>
      <c r="M44" s="125">
        <v>169</v>
      </c>
      <c r="N44" s="125">
        <v>455</v>
      </c>
      <c r="O44" s="125">
        <v>671</v>
      </c>
      <c r="P44" s="125">
        <v>1160</v>
      </c>
      <c r="Q44" s="125">
        <v>948</v>
      </c>
      <c r="R44" s="125">
        <v>1317</v>
      </c>
      <c r="S44" s="125">
        <v>11312</v>
      </c>
      <c r="T44" s="125">
        <v>10185</v>
      </c>
      <c r="U44" s="125">
        <v>13959</v>
      </c>
      <c r="V44" s="125">
        <v>13840</v>
      </c>
      <c r="W44" s="125">
        <v>6928</v>
      </c>
      <c r="X44" s="125">
        <v>6761</v>
      </c>
      <c r="Y44" s="125">
        <v>22826</v>
      </c>
      <c r="Z44" s="125">
        <v>23203</v>
      </c>
    </row>
    <row r="45" spans="2:26" x14ac:dyDescent="0.2">
      <c r="B45" s="125" t="s">
        <v>351</v>
      </c>
      <c r="C45" s="125">
        <f t="shared" si="0"/>
        <v>20886</v>
      </c>
      <c r="D45" s="125">
        <f t="shared" si="0"/>
        <v>23616.142857142859</v>
      </c>
      <c r="E45" s="125">
        <f t="shared" si="1"/>
        <v>4868218.8800000008</v>
      </c>
      <c r="F45" s="125">
        <f t="shared" si="2"/>
        <v>9083765</v>
      </c>
      <c r="G45" s="125">
        <f t="shared" si="3"/>
        <v>115075000</v>
      </c>
      <c r="H45" s="125">
        <v>13673</v>
      </c>
      <c r="I45" s="125">
        <v>100838</v>
      </c>
      <c r="J45" s="125">
        <v>564</v>
      </c>
      <c r="K45" s="125">
        <v>11571</v>
      </c>
      <c r="L45" s="125">
        <v>12813</v>
      </c>
      <c r="M45" s="125">
        <v>12481</v>
      </c>
      <c r="N45" s="125">
        <v>21905</v>
      </c>
      <c r="O45" s="125">
        <v>45691</v>
      </c>
      <c r="P45" s="125">
        <v>50855</v>
      </c>
      <c r="Q45" s="125">
        <v>26574</v>
      </c>
      <c r="R45" s="125">
        <v>38042</v>
      </c>
      <c r="S45" s="125">
        <v>18154</v>
      </c>
      <c r="T45" s="125">
        <v>16299</v>
      </c>
      <c r="U45" s="125">
        <v>8828</v>
      </c>
      <c r="V45" s="125">
        <v>8478</v>
      </c>
      <c r="W45" s="125">
        <v>22903</v>
      </c>
      <c r="X45" s="125">
        <v>16921</v>
      </c>
      <c r="Y45" s="125">
        <v>33731</v>
      </c>
      <c r="Z45" s="125">
        <v>33958</v>
      </c>
    </row>
    <row r="46" spans="2:26" x14ac:dyDescent="0.2">
      <c r="B46" s="125" t="s">
        <v>425</v>
      </c>
      <c r="C46" s="125">
        <f t="shared" si="0"/>
        <v>4851.2857142857147</v>
      </c>
      <c r="D46" s="125">
        <f t="shared" si="0"/>
        <v>5400.1428571428569</v>
      </c>
      <c r="E46" s="125">
        <f t="shared" si="1"/>
        <v>1505710.0800000001</v>
      </c>
      <c r="F46" s="125">
        <f t="shared" si="2"/>
        <v>2809552.5</v>
      </c>
      <c r="G46" s="125">
        <f t="shared" si="3"/>
        <v>19635000</v>
      </c>
      <c r="H46" s="125">
        <v>996</v>
      </c>
      <c r="I46" s="125">
        <v>17887</v>
      </c>
      <c r="J46" s="125">
        <v>752</v>
      </c>
      <c r="K46" s="125">
        <v>6653</v>
      </c>
      <c r="L46" s="125">
        <v>6126</v>
      </c>
      <c r="M46" s="125">
        <v>2971</v>
      </c>
      <c r="N46" s="125">
        <v>2860</v>
      </c>
      <c r="O46" s="125">
        <v>6004</v>
      </c>
      <c r="P46" s="125">
        <v>8521</v>
      </c>
      <c r="Q46" s="125">
        <v>1871</v>
      </c>
      <c r="R46" s="125">
        <v>2961</v>
      </c>
      <c r="S46" s="125">
        <v>4355</v>
      </c>
      <c r="T46" s="125">
        <v>4750</v>
      </c>
      <c r="U46" s="125">
        <v>8438</v>
      </c>
      <c r="V46" s="125">
        <v>8370</v>
      </c>
      <c r="W46" s="125">
        <v>3667</v>
      </c>
      <c r="X46" s="125">
        <v>4213</v>
      </c>
      <c r="Y46" s="125">
        <v>10413</v>
      </c>
      <c r="Z46" s="125">
        <v>10503</v>
      </c>
    </row>
    <row r="47" spans="2:26" x14ac:dyDescent="0.2">
      <c r="B47" s="125" t="s">
        <v>145</v>
      </c>
      <c r="C47" s="125">
        <f t="shared" si="0"/>
        <v>2192.7142857142858</v>
      </c>
      <c r="D47" s="125">
        <f t="shared" si="0"/>
        <v>2420.5714285714284</v>
      </c>
      <c r="E47" s="125">
        <f t="shared" si="1"/>
        <v>3634892.8000000003</v>
      </c>
      <c r="F47" s="125">
        <f t="shared" si="2"/>
        <v>6782462.5</v>
      </c>
      <c r="G47" s="125">
        <f t="shared" si="3"/>
        <v>48962000</v>
      </c>
      <c r="H47" s="125">
        <v>39</v>
      </c>
      <c r="I47" s="125">
        <v>48720</v>
      </c>
      <c r="J47" s="125">
        <v>203</v>
      </c>
      <c r="K47" s="125">
        <v>2507</v>
      </c>
      <c r="L47" s="125">
        <v>2841</v>
      </c>
      <c r="M47" s="125">
        <v>3086</v>
      </c>
      <c r="N47" s="125">
        <v>2988</v>
      </c>
      <c r="O47" s="125">
        <v>1725</v>
      </c>
      <c r="P47" s="125">
        <v>2898</v>
      </c>
      <c r="Q47" s="125">
        <v>1870</v>
      </c>
      <c r="R47" s="125">
        <v>2007</v>
      </c>
      <c r="S47" s="125">
        <v>1419</v>
      </c>
      <c r="T47" s="125">
        <v>1621</v>
      </c>
      <c r="U47" s="125">
        <v>2718</v>
      </c>
      <c r="V47" s="125">
        <v>2248</v>
      </c>
      <c r="W47" s="125">
        <v>2024</v>
      </c>
      <c r="X47" s="125">
        <v>2341</v>
      </c>
      <c r="Y47" s="125">
        <v>25355</v>
      </c>
      <c r="Z47" s="125">
        <v>25355</v>
      </c>
    </row>
    <row r="48" spans="2:26" x14ac:dyDescent="0.2">
      <c r="B48" s="125" t="s">
        <v>200</v>
      </c>
      <c r="C48" s="125">
        <f t="shared" si="0"/>
        <v>12929.571428571429</v>
      </c>
      <c r="D48" s="125">
        <f t="shared" si="0"/>
        <v>14208.428571428571</v>
      </c>
      <c r="E48" s="125">
        <f t="shared" si="1"/>
        <v>3316346.8800000004</v>
      </c>
      <c r="F48" s="125">
        <f t="shared" si="2"/>
        <v>6188077.5</v>
      </c>
      <c r="G48" s="125">
        <f t="shared" si="3"/>
        <v>43798000</v>
      </c>
      <c r="H48" s="125">
        <v>0</v>
      </c>
      <c r="I48" s="125">
        <v>43105</v>
      </c>
      <c r="J48" s="125">
        <v>693</v>
      </c>
      <c r="K48" s="125">
        <v>12498</v>
      </c>
      <c r="L48" s="125">
        <v>12303</v>
      </c>
      <c r="M48" s="125">
        <v>18435</v>
      </c>
      <c r="N48" s="125">
        <v>20471</v>
      </c>
      <c r="O48" s="125">
        <v>23990</v>
      </c>
      <c r="P48" s="125">
        <v>25257</v>
      </c>
      <c r="Q48" s="125">
        <v>8671</v>
      </c>
      <c r="R48" s="125">
        <v>10787</v>
      </c>
      <c r="S48" s="125">
        <v>14163</v>
      </c>
      <c r="T48" s="125">
        <v>16265</v>
      </c>
      <c r="U48" s="125">
        <v>8578</v>
      </c>
      <c r="V48" s="125">
        <v>9659</v>
      </c>
      <c r="W48" s="125">
        <v>4172</v>
      </c>
      <c r="X48" s="125">
        <v>4717</v>
      </c>
      <c r="Y48" s="125">
        <v>22796</v>
      </c>
      <c r="Z48" s="125">
        <v>23133</v>
      </c>
    </row>
    <row r="49" spans="2:26" x14ac:dyDescent="0.2">
      <c r="B49" s="125" t="s">
        <v>403</v>
      </c>
      <c r="C49" s="125">
        <f t="shared" si="0"/>
        <v>3169.7142857142858</v>
      </c>
      <c r="D49" s="125">
        <f t="shared" si="0"/>
        <v>2310.4285714285716</v>
      </c>
      <c r="E49" s="125">
        <f t="shared" si="1"/>
        <v>3257282.5600000005</v>
      </c>
      <c r="F49" s="125">
        <f t="shared" si="2"/>
        <v>6077867.5</v>
      </c>
      <c r="G49" s="125">
        <f t="shared" si="3"/>
        <v>33473000</v>
      </c>
      <c r="H49" s="125">
        <v>1875</v>
      </c>
      <c r="I49" s="125">
        <v>31314</v>
      </c>
      <c r="J49" s="125">
        <v>284</v>
      </c>
      <c r="K49" s="125">
        <v>4464</v>
      </c>
      <c r="L49" s="125">
        <v>5561</v>
      </c>
      <c r="M49" s="125">
        <v>6007</v>
      </c>
      <c r="N49" s="125">
        <v>3825</v>
      </c>
      <c r="O49" s="125">
        <v>4184</v>
      </c>
      <c r="P49" s="125">
        <v>2224</v>
      </c>
      <c r="Q49" s="125">
        <v>578</v>
      </c>
      <c r="R49" s="125">
        <v>532</v>
      </c>
      <c r="S49" s="125">
        <v>2187</v>
      </c>
      <c r="T49" s="125">
        <v>1406</v>
      </c>
      <c r="U49" s="125">
        <v>2583</v>
      </c>
      <c r="V49" s="125">
        <v>1414</v>
      </c>
      <c r="W49" s="125">
        <v>2185</v>
      </c>
      <c r="X49" s="125">
        <v>1211</v>
      </c>
      <c r="Y49" s="125">
        <v>22684</v>
      </c>
      <c r="Z49" s="125">
        <v>22721</v>
      </c>
    </row>
    <row r="50" spans="2:26" x14ac:dyDescent="0.2">
      <c r="B50" s="125" t="s">
        <v>426</v>
      </c>
      <c r="C50" s="125">
        <f t="shared" si="0"/>
        <v>8487.4285714285706</v>
      </c>
      <c r="D50" s="125">
        <f t="shared" si="0"/>
        <v>9619.4285714285706</v>
      </c>
      <c r="E50" s="125">
        <f t="shared" si="1"/>
        <v>4141527.0400000005</v>
      </c>
      <c r="F50" s="125">
        <f t="shared" si="2"/>
        <v>7727807.5</v>
      </c>
      <c r="G50" s="125">
        <f t="shared" si="3"/>
        <v>86194000</v>
      </c>
      <c r="H50" s="125">
        <v>2604</v>
      </c>
      <c r="I50" s="125">
        <v>83455</v>
      </c>
      <c r="J50" s="125">
        <v>135</v>
      </c>
      <c r="K50" s="125">
        <v>2435</v>
      </c>
      <c r="L50" s="125">
        <v>3676</v>
      </c>
      <c r="M50" s="125">
        <v>30583</v>
      </c>
      <c r="N50" s="125">
        <v>32033</v>
      </c>
      <c r="O50" s="125">
        <v>1604</v>
      </c>
      <c r="P50" s="125">
        <v>2576</v>
      </c>
      <c r="Q50" s="125">
        <v>18748</v>
      </c>
      <c r="R50" s="125">
        <v>20708</v>
      </c>
      <c r="S50" s="125">
        <v>2371</v>
      </c>
      <c r="T50" s="125">
        <v>2814</v>
      </c>
      <c r="U50" s="125">
        <v>1899</v>
      </c>
      <c r="V50" s="125">
        <v>2224</v>
      </c>
      <c r="W50" s="125">
        <v>1772</v>
      </c>
      <c r="X50" s="125">
        <v>3305</v>
      </c>
      <c r="Y50" s="125">
        <v>28719</v>
      </c>
      <c r="Z50" s="125">
        <v>28889</v>
      </c>
    </row>
    <row r="51" spans="2:26" x14ac:dyDescent="0.2">
      <c r="B51" s="125" t="s">
        <v>427</v>
      </c>
      <c r="C51" s="125">
        <f t="shared" si="0"/>
        <v>4644.2857142857147</v>
      </c>
      <c r="D51" s="125">
        <f t="shared" si="0"/>
        <v>5115.2857142857147</v>
      </c>
      <c r="E51" s="125">
        <f t="shared" si="1"/>
        <v>4398284.8000000007</v>
      </c>
      <c r="F51" s="125">
        <f t="shared" si="2"/>
        <v>8206900</v>
      </c>
      <c r="G51" s="125">
        <f t="shared" si="3"/>
        <v>72245000</v>
      </c>
      <c r="H51" s="125">
        <v>170</v>
      </c>
      <c r="I51" s="125">
        <v>71937</v>
      </c>
      <c r="J51" s="125">
        <v>138</v>
      </c>
      <c r="K51" s="125">
        <v>9425</v>
      </c>
      <c r="L51" s="125">
        <v>8748</v>
      </c>
      <c r="M51" s="125">
        <v>3683</v>
      </c>
      <c r="N51" s="125">
        <v>4033</v>
      </c>
      <c r="O51" s="125">
        <v>3697</v>
      </c>
      <c r="P51" s="125">
        <v>3765</v>
      </c>
      <c r="Q51" s="125">
        <v>3658</v>
      </c>
      <c r="R51" s="125">
        <v>5556</v>
      </c>
      <c r="S51" s="125">
        <v>6446</v>
      </c>
      <c r="T51" s="125">
        <v>7816</v>
      </c>
      <c r="U51" s="125">
        <v>4584</v>
      </c>
      <c r="V51" s="125">
        <v>4602</v>
      </c>
      <c r="W51" s="125">
        <v>1017</v>
      </c>
      <c r="X51" s="125">
        <v>1287</v>
      </c>
      <c r="Y51" s="125">
        <v>30668</v>
      </c>
      <c r="Z51" s="125">
        <v>30680</v>
      </c>
    </row>
    <row r="52" spans="2:26" x14ac:dyDescent="0.2">
      <c r="B52" s="125" t="s">
        <v>428</v>
      </c>
      <c r="C52" s="125">
        <f t="shared" si="0"/>
        <v>43232</v>
      </c>
      <c r="D52" s="125">
        <f t="shared" si="0"/>
        <v>49061</v>
      </c>
      <c r="E52" s="125">
        <f t="shared" si="1"/>
        <v>26342256.640000004</v>
      </c>
      <c r="F52" s="125">
        <f t="shared" si="2"/>
        <v>49152857.5</v>
      </c>
      <c r="G52" s="125">
        <f t="shared" si="3"/>
        <v>418265000</v>
      </c>
      <c r="H52" s="125">
        <v>2609</v>
      </c>
      <c r="I52" s="125">
        <v>413579</v>
      </c>
      <c r="J52" s="125">
        <v>2077</v>
      </c>
      <c r="K52" s="125">
        <v>48206</v>
      </c>
      <c r="L52" s="125">
        <v>70396</v>
      </c>
      <c r="M52" s="125">
        <v>43368</v>
      </c>
      <c r="N52" s="125">
        <v>59296</v>
      </c>
      <c r="O52" s="125">
        <v>17185</v>
      </c>
      <c r="P52" s="125">
        <v>27084</v>
      </c>
      <c r="Q52" s="125">
        <v>71203</v>
      </c>
      <c r="R52" s="125">
        <v>76489</v>
      </c>
      <c r="S52" s="125">
        <v>47016</v>
      </c>
      <c r="T52" s="125">
        <v>54225</v>
      </c>
      <c r="U52" s="125">
        <v>27293</v>
      </c>
      <c r="V52" s="125">
        <v>30566</v>
      </c>
      <c r="W52" s="125">
        <v>48353</v>
      </c>
      <c r="X52" s="125">
        <v>25371</v>
      </c>
      <c r="Y52" s="125">
        <v>182777</v>
      </c>
      <c r="Z52" s="125">
        <v>183749</v>
      </c>
    </row>
    <row r="53" spans="2:26" x14ac:dyDescent="0.2">
      <c r="B53" s="125" t="s">
        <v>352</v>
      </c>
      <c r="C53" s="125">
        <f t="shared" si="0"/>
        <v>11643.857142857143</v>
      </c>
      <c r="D53" s="125">
        <f t="shared" si="0"/>
        <v>15810.285714285714</v>
      </c>
      <c r="E53" s="125">
        <f t="shared" si="1"/>
        <v>2440847.3600000003</v>
      </c>
      <c r="F53" s="125">
        <f t="shared" si="2"/>
        <v>4554455</v>
      </c>
      <c r="G53" s="125">
        <f t="shared" si="3"/>
        <v>99134000</v>
      </c>
      <c r="H53" s="125">
        <v>0</v>
      </c>
      <c r="I53" s="125">
        <v>99056</v>
      </c>
      <c r="J53" s="125">
        <v>78</v>
      </c>
      <c r="K53" s="125">
        <v>10785</v>
      </c>
      <c r="L53" s="125">
        <v>15572</v>
      </c>
      <c r="M53" s="125">
        <v>11083</v>
      </c>
      <c r="N53" s="125">
        <v>16512</v>
      </c>
      <c r="O53" s="125">
        <v>11616</v>
      </c>
      <c r="P53" s="125">
        <v>25868</v>
      </c>
      <c r="Q53" s="125">
        <v>12981</v>
      </c>
      <c r="R53" s="125">
        <v>14224</v>
      </c>
      <c r="S53" s="125">
        <v>9369</v>
      </c>
      <c r="T53" s="125">
        <v>18151</v>
      </c>
      <c r="U53" s="125">
        <v>11261</v>
      </c>
      <c r="V53" s="125">
        <v>10481</v>
      </c>
      <c r="W53" s="125">
        <v>14412</v>
      </c>
      <c r="X53" s="125">
        <v>9864</v>
      </c>
      <c r="Y53" s="125">
        <v>16837</v>
      </c>
      <c r="Z53" s="125">
        <v>17026</v>
      </c>
    </row>
    <row r="54" spans="2:26" x14ac:dyDescent="0.2">
      <c r="B54" s="125" t="s">
        <v>229</v>
      </c>
      <c r="C54" s="125">
        <f t="shared" si="0"/>
        <v>976</v>
      </c>
      <c r="D54" s="125">
        <f t="shared" si="0"/>
        <v>2805.1428571428573</v>
      </c>
      <c r="E54" s="125">
        <f t="shared" si="1"/>
        <v>5211422.7200000007</v>
      </c>
      <c r="F54" s="125">
        <f t="shared" si="2"/>
        <v>9724160</v>
      </c>
      <c r="G54" s="125">
        <f t="shared" si="3"/>
        <v>65635000</v>
      </c>
      <c r="H54" s="125">
        <v>0</v>
      </c>
      <c r="I54" s="125">
        <v>64314</v>
      </c>
      <c r="J54" s="125">
        <v>1321</v>
      </c>
      <c r="K54" s="125">
        <v>-84</v>
      </c>
      <c r="L54" s="125">
        <v>1004</v>
      </c>
      <c r="M54" s="125">
        <v>1208</v>
      </c>
      <c r="N54" s="125">
        <v>4501</v>
      </c>
      <c r="O54" s="125">
        <v>171</v>
      </c>
      <c r="P54" s="125">
        <v>3011</v>
      </c>
      <c r="Q54" s="125">
        <v>5142</v>
      </c>
      <c r="R54" s="125">
        <v>7810</v>
      </c>
      <c r="S54" s="125">
        <v>56</v>
      </c>
      <c r="T54" s="125">
        <v>814</v>
      </c>
      <c r="U54" s="125">
        <v>136</v>
      </c>
      <c r="V54" s="125">
        <v>439</v>
      </c>
      <c r="W54" s="125">
        <v>203</v>
      </c>
      <c r="X54" s="125">
        <v>2057</v>
      </c>
      <c r="Y54" s="125">
        <v>36418</v>
      </c>
      <c r="Z54" s="125">
        <v>36352</v>
      </c>
    </row>
    <row r="55" spans="2:26" x14ac:dyDescent="0.2">
      <c r="B55" s="125" t="s">
        <v>230</v>
      </c>
      <c r="C55" s="125">
        <f t="shared" si="0"/>
        <v>4975.5714285714284</v>
      </c>
      <c r="D55" s="125">
        <f t="shared" si="0"/>
        <v>7205.2857142857147</v>
      </c>
      <c r="E55" s="125">
        <f t="shared" si="1"/>
        <v>2976870.4000000004</v>
      </c>
      <c r="F55" s="125">
        <f t="shared" si="2"/>
        <v>5554637.5</v>
      </c>
      <c r="G55" s="125">
        <f t="shared" si="3"/>
        <v>43510000</v>
      </c>
      <c r="H55" s="125">
        <v>0</v>
      </c>
      <c r="I55" s="125">
        <v>42772</v>
      </c>
      <c r="J55" s="125">
        <v>738</v>
      </c>
      <c r="K55" s="125">
        <v>8069</v>
      </c>
      <c r="L55" s="125">
        <v>10448</v>
      </c>
      <c r="M55" s="125">
        <v>9394</v>
      </c>
      <c r="N55" s="125">
        <v>24872</v>
      </c>
      <c r="O55" s="125">
        <v>10295</v>
      </c>
      <c r="P55" s="125">
        <v>10327</v>
      </c>
      <c r="Q55" s="125">
        <v>1531</v>
      </c>
      <c r="R55" s="125">
        <v>1443</v>
      </c>
      <c r="S55" s="125">
        <v>2756</v>
      </c>
      <c r="T55" s="125">
        <v>2625</v>
      </c>
      <c r="U55" s="125">
        <v>2293</v>
      </c>
      <c r="V55" s="125">
        <v>198</v>
      </c>
      <c r="W55" s="125">
        <v>491</v>
      </c>
      <c r="X55" s="125">
        <v>524</v>
      </c>
      <c r="Y55" s="125">
        <v>20840</v>
      </c>
      <c r="Z55" s="125">
        <v>20765</v>
      </c>
    </row>
    <row r="56" spans="2:26" x14ac:dyDescent="0.2">
      <c r="B56" s="125" t="s">
        <v>481</v>
      </c>
      <c r="C56" s="125">
        <f t="shared" si="0"/>
        <v>4702.2857142857147</v>
      </c>
      <c r="D56" s="125">
        <f t="shared" si="0"/>
        <v>5334.1428571428569</v>
      </c>
      <c r="E56" s="125">
        <f t="shared" si="1"/>
        <v>4047339.5200000005</v>
      </c>
      <c r="F56" s="125">
        <f t="shared" si="2"/>
        <v>7552060</v>
      </c>
      <c r="G56" s="125">
        <f t="shared" si="3"/>
        <v>45096000</v>
      </c>
      <c r="H56" s="125">
        <v>60</v>
      </c>
      <c r="I56" s="125">
        <v>45036</v>
      </c>
      <c r="J56" s="125">
        <v>0</v>
      </c>
      <c r="K56" s="125">
        <v>225</v>
      </c>
      <c r="L56" s="125">
        <v>902</v>
      </c>
      <c r="M56" s="125">
        <v>3809</v>
      </c>
      <c r="N56" s="125">
        <v>4401</v>
      </c>
      <c r="O56" s="125">
        <v>9093</v>
      </c>
      <c r="P56" s="125">
        <v>10690</v>
      </c>
      <c r="Q56" s="125">
        <v>4307</v>
      </c>
      <c r="R56" s="125">
        <v>5011</v>
      </c>
      <c r="S56" s="125">
        <v>7871</v>
      </c>
      <c r="T56" s="125">
        <v>8286</v>
      </c>
      <c r="U56" s="125">
        <v>2962</v>
      </c>
      <c r="V56" s="125">
        <v>3218</v>
      </c>
      <c r="W56" s="125">
        <v>4649</v>
      </c>
      <c r="X56" s="125">
        <v>4831</v>
      </c>
      <c r="Y56" s="125">
        <v>28373</v>
      </c>
      <c r="Z56" s="125">
        <v>28232</v>
      </c>
    </row>
    <row r="57" spans="2:26" x14ac:dyDescent="0.2">
      <c r="B57" s="125" t="s">
        <v>278</v>
      </c>
      <c r="C57" s="125">
        <f t="shared" si="0"/>
        <v>6317.2857142857147</v>
      </c>
      <c r="D57" s="125">
        <f t="shared" si="0"/>
        <v>7146.7142857142853</v>
      </c>
      <c r="E57" s="125">
        <f t="shared" si="1"/>
        <v>2180935.6800000002</v>
      </c>
      <c r="F57" s="125">
        <f t="shared" si="2"/>
        <v>4069477.5</v>
      </c>
      <c r="G57" s="125">
        <f t="shared" si="3"/>
        <v>35032000</v>
      </c>
      <c r="H57" s="125">
        <v>348</v>
      </c>
      <c r="I57" s="125">
        <v>34684</v>
      </c>
      <c r="J57" s="125">
        <v>0</v>
      </c>
      <c r="K57" s="125">
        <v>10809</v>
      </c>
      <c r="L57" s="125">
        <v>10830</v>
      </c>
      <c r="M57" s="125">
        <v>7596</v>
      </c>
      <c r="N57" s="125">
        <v>9452</v>
      </c>
      <c r="O57" s="125">
        <v>6255</v>
      </c>
      <c r="P57" s="125">
        <v>9070</v>
      </c>
      <c r="Q57" s="125">
        <v>8307</v>
      </c>
      <c r="R57" s="125">
        <v>10752</v>
      </c>
      <c r="S57" s="125">
        <v>6734</v>
      </c>
      <c r="T57" s="125">
        <v>6536</v>
      </c>
      <c r="U57" s="125">
        <v>4020</v>
      </c>
      <c r="V57" s="125">
        <v>2385</v>
      </c>
      <c r="W57" s="125">
        <v>500</v>
      </c>
      <c r="X57" s="125">
        <v>1002</v>
      </c>
      <c r="Y57" s="125">
        <v>15156</v>
      </c>
      <c r="Z57" s="125">
        <v>15213</v>
      </c>
    </row>
    <row r="58" spans="2:26" x14ac:dyDescent="0.2">
      <c r="B58" s="125" t="s">
        <v>279</v>
      </c>
      <c r="C58" s="125">
        <f t="shared" si="0"/>
        <v>8161.1428571428569</v>
      </c>
      <c r="D58" s="125">
        <f t="shared" si="0"/>
        <v>8631.7142857142862</v>
      </c>
      <c r="E58" s="125">
        <f t="shared" si="1"/>
        <v>3048550.4000000004</v>
      </c>
      <c r="F58" s="125">
        <f t="shared" si="2"/>
        <v>5688387.5</v>
      </c>
      <c r="G58" s="125">
        <f t="shared" si="3"/>
        <v>23421000</v>
      </c>
      <c r="H58" s="125">
        <v>412</v>
      </c>
      <c r="I58" s="125">
        <v>22987</v>
      </c>
      <c r="J58" s="125">
        <v>22</v>
      </c>
      <c r="K58" s="125">
        <v>9932</v>
      </c>
      <c r="L58" s="125">
        <v>9719</v>
      </c>
      <c r="M58" s="125">
        <v>6014</v>
      </c>
      <c r="N58" s="125">
        <v>4679</v>
      </c>
      <c r="O58" s="125">
        <v>7609</v>
      </c>
      <c r="P58" s="125">
        <v>10405</v>
      </c>
      <c r="Q58" s="125">
        <v>7208</v>
      </c>
      <c r="R58" s="125">
        <v>10554</v>
      </c>
      <c r="S58" s="125">
        <v>7646</v>
      </c>
      <c r="T58" s="125">
        <v>8111</v>
      </c>
      <c r="U58" s="125">
        <v>6989</v>
      </c>
      <c r="V58" s="125">
        <v>5303</v>
      </c>
      <c r="W58" s="125">
        <v>11730</v>
      </c>
      <c r="X58" s="125">
        <v>11651</v>
      </c>
      <c r="Y58" s="125">
        <v>21022</v>
      </c>
      <c r="Z58" s="125">
        <v>21265</v>
      </c>
    </row>
    <row r="59" spans="2:26" x14ac:dyDescent="0.2">
      <c r="B59" s="125" t="s">
        <v>231</v>
      </c>
      <c r="C59" s="125">
        <f t="shared" si="0"/>
        <v>8829.2857142857138</v>
      </c>
      <c r="D59" s="125">
        <f t="shared" si="0"/>
        <v>10220.857142857143</v>
      </c>
      <c r="E59" s="125">
        <f t="shared" si="1"/>
        <v>3778826.2400000002</v>
      </c>
      <c r="F59" s="125">
        <f t="shared" si="2"/>
        <v>7051032.5</v>
      </c>
      <c r="G59" s="125">
        <f t="shared" si="3"/>
        <v>30048000</v>
      </c>
      <c r="H59" s="125">
        <v>0</v>
      </c>
      <c r="I59" s="125">
        <v>30048</v>
      </c>
      <c r="J59" s="125">
        <v>0</v>
      </c>
      <c r="K59" s="125">
        <v>7484</v>
      </c>
      <c r="L59" s="125">
        <v>7544</v>
      </c>
      <c r="M59" s="125">
        <v>20985</v>
      </c>
      <c r="N59" s="125">
        <v>23036</v>
      </c>
      <c r="O59" s="125">
        <v>9789</v>
      </c>
      <c r="P59" s="125">
        <v>11869</v>
      </c>
      <c r="Q59" s="125">
        <v>6430</v>
      </c>
      <c r="R59" s="125">
        <v>7739</v>
      </c>
      <c r="S59" s="125">
        <v>4453</v>
      </c>
      <c r="T59" s="125">
        <v>8526</v>
      </c>
      <c r="U59" s="125">
        <v>10551</v>
      </c>
      <c r="V59" s="125">
        <v>9867</v>
      </c>
      <c r="W59" s="125">
        <v>2113</v>
      </c>
      <c r="X59" s="125">
        <v>2965</v>
      </c>
      <c r="Y59" s="125">
        <v>26348</v>
      </c>
      <c r="Z59" s="125">
        <v>26359</v>
      </c>
    </row>
    <row r="60" spans="2:26" x14ac:dyDescent="0.2">
      <c r="B60" s="125" t="s">
        <v>353</v>
      </c>
      <c r="C60" s="125">
        <f t="shared" si="0"/>
        <v>3778.4285714285716</v>
      </c>
      <c r="D60" s="125">
        <f t="shared" si="0"/>
        <v>3777</v>
      </c>
      <c r="E60" s="125">
        <f t="shared" si="1"/>
        <v>9585623.040000001</v>
      </c>
      <c r="F60" s="125">
        <f t="shared" si="2"/>
        <v>17886120</v>
      </c>
      <c r="G60" s="125">
        <f t="shared" si="3"/>
        <v>130694000</v>
      </c>
      <c r="H60" s="125">
        <v>0</v>
      </c>
      <c r="I60" s="125">
        <v>124148</v>
      </c>
      <c r="J60" s="125">
        <v>6546</v>
      </c>
      <c r="K60" s="125">
        <v>6022</v>
      </c>
      <c r="L60" s="125">
        <v>5948</v>
      </c>
      <c r="M60" s="125">
        <v>12196</v>
      </c>
      <c r="N60" s="125">
        <v>9724</v>
      </c>
      <c r="O60" s="125">
        <v>2971</v>
      </c>
      <c r="P60" s="125">
        <v>3132</v>
      </c>
      <c r="Q60" s="125">
        <v>2028</v>
      </c>
      <c r="R60" s="125">
        <v>2186</v>
      </c>
      <c r="S60" s="125">
        <v>1210</v>
      </c>
      <c r="T60" s="125">
        <v>553</v>
      </c>
      <c r="U60" s="125">
        <v>-230</v>
      </c>
      <c r="V60" s="125">
        <v>447</v>
      </c>
      <c r="W60" s="125">
        <v>2252</v>
      </c>
      <c r="X60" s="125">
        <v>4449</v>
      </c>
      <c r="Y60" s="125">
        <v>66445</v>
      </c>
      <c r="Z60" s="125">
        <v>66864</v>
      </c>
    </row>
    <row r="61" spans="2:26" x14ac:dyDescent="0.2">
      <c r="B61" s="125" t="s">
        <v>309</v>
      </c>
      <c r="C61" s="125">
        <f t="shared" si="0"/>
        <v>3042.2857142857142</v>
      </c>
      <c r="D61" s="125">
        <f t="shared" si="0"/>
        <v>3187.7142857142858</v>
      </c>
      <c r="E61" s="125">
        <f t="shared" si="1"/>
        <v>5104619.5200000005</v>
      </c>
      <c r="F61" s="125">
        <f t="shared" si="2"/>
        <v>9524872.5</v>
      </c>
      <c r="G61" s="125">
        <f t="shared" si="3"/>
        <v>67417000</v>
      </c>
      <c r="H61" s="125">
        <v>1019</v>
      </c>
      <c r="I61" s="125">
        <v>66192</v>
      </c>
      <c r="J61" s="125">
        <v>206</v>
      </c>
      <c r="K61" s="125">
        <v>5357</v>
      </c>
      <c r="L61" s="125">
        <v>5231</v>
      </c>
      <c r="M61" s="125">
        <v>1993</v>
      </c>
      <c r="N61" s="125">
        <v>1490</v>
      </c>
      <c r="O61" s="125">
        <v>4779</v>
      </c>
      <c r="P61" s="125">
        <v>4550</v>
      </c>
      <c r="Q61" s="125">
        <v>1615</v>
      </c>
      <c r="R61" s="125">
        <v>2045</v>
      </c>
      <c r="S61" s="125">
        <v>1699</v>
      </c>
      <c r="T61" s="125">
        <v>3103</v>
      </c>
      <c r="U61" s="125">
        <v>2316</v>
      </c>
      <c r="V61" s="125">
        <v>2152</v>
      </c>
      <c r="W61" s="125">
        <v>3537</v>
      </c>
      <c r="X61" s="125">
        <v>3743</v>
      </c>
      <c r="Y61" s="125">
        <v>35230</v>
      </c>
      <c r="Z61" s="125">
        <v>35607</v>
      </c>
    </row>
    <row r="62" spans="2:26" x14ac:dyDescent="0.2">
      <c r="B62" s="125" t="s">
        <v>146</v>
      </c>
      <c r="C62" s="125">
        <f t="shared" si="0"/>
        <v>9165.1428571428569</v>
      </c>
      <c r="D62" s="125">
        <f t="shared" si="0"/>
        <v>12876.857142857143</v>
      </c>
      <c r="E62" s="125">
        <f t="shared" si="1"/>
        <v>5059317.7600000007</v>
      </c>
      <c r="F62" s="125">
        <f t="shared" si="2"/>
        <v>9440342.5</v>
      </c>
      <c r="G62" s="125">
        <f t="shared" si="3"/>
        <v>90760000</v>
      </c>
      <c r="H62" s="125">
        <v>1392</v>
      </c>
      <c r="I62" s="125">
        <v>88555</v>
      </c>
      <c r="J62" s="125">
        <v>813</v>
      </c>
      <c r="K62" s="125">
        <v>14586</v>
      </c>
      <c r="L62" s="125">
        <v>19096</v>
      </c>
      <c r="M62" s="125">
        <v>5862</v>
      </c>
      <c r="N62" s="125">
        <v>13998</v>
      </c>
      <c r="O62" s="125">
        <v>8817</v>
      </c>
      <c r="P62" s="125">
        <v>10680</v>
      </c>
      <c r="Q62" s="125">
        <v>6881</v>
      </c>
      <c r="R62" s="125">
        <v>11314</v>
      </c>
      <c r="S62" s="125">
        <v>10829</v>
      </c>
      <c r="T62" s="125">
        <v>13525</v>
      </c>
      <c r="U62" s="125">
        <v>8159</v>
      </c>
      <c r="V62" s="125">
        <v>12249</v>
      </c>
      <c r="W62" s="125">
        <v>9022</v>
      </c>
      <c r="X62" s="125">
        <v>9276</v>
      </c>
      <c r="Y62" s="125">
        <v>35268</v>
      </c>
      <c r="Z62" s="125">
        <v>35291</v>
      </c>
    </row>
    <row r="63" spans="2:26" x14ac:dyDescent="0.2">
      <c r="B63" s="125" t="s">
        <v>429</v>
      </c>
      <c r="C63" s="125">
        <f t="shared" si="0"/>
        <v>1999.8571428571429</v>
      </c>
      <c r="D63" s="125">
        <f t="shared" si="0"/>
        <v>1956.5714285714287</v>
      </c>
      <c r="E63" s="125">
        <f t="shared" si="1"/>
        <v>2915225.6000000001</v>
      </c>
      <c r="F63" s="125">
        <f t="shared" si="2"/>
        <v>5439612.5</v>
      </c>
      <c r="G63" s="125">
        <f t="shared" si="3"/>
        <v>38643000</v>
      </c>
      <c r="H63" s="125">
        <v>7409</v>
      </c>
      <c r="I63" s="125">
        <v>31195</v>
      </c>
      <c r="J63" s="125">
        <v>39</v>
      </c>
      <c r="K63" s="125">
        <v>1925</v>
      </c>
      <c r="L63" s="125">
        <v>1925</v>
      </c>
      <c r="M63" s="125">
        <v>2355</v>
      </c>
      <c r="N63" s="125">
        <v>2355</v>
      </c>
      <c r="O63" s="125">
        <v>2219</v>
      </c>
      <c r="P63" s="125">
        <v>1935</v>
      </c>
      <c r="Q63" s="125">
        <v>3709</v>
      </c>
      <c r="R63" s="125">
        <v>3450</v>
      </c>
      <c r="S63" s="125">
        <v>3013</v>
      </c>
      <c r="T63" s="125">
        <v>3013</v>
      </c>
      <c r="U63" s="125">
        <v>0</v>
      </c>
      <c r="V63" s="125">
        <v>0</v>
      </c>
      <c r="W63" s="125">
        <v>778</v>
      </c>
      <c r="X63" s="125">
        <v>1018</v>
      </c>
      <c r="Y63" s="125">
        <v>20686</v>
      </c>
      <c r="Z63" s="125">
        <v>20335</v>
      </c>
    </row>
    <row r="64" spans="2:26" x14ac:dyDescent="0.2">
      <c r="B64" s="125" t="s">
        <v>354</v>
      </c>
      <c r="C64" s="125">
        <f t="shared" si="0"/>
        <v>970.71428571428567</v>
      </c>
      <c r="D64" s="125">
        <f t="shared" si="0"/>
        <v>966.71428571428567</v>
      </c>
      <c r="E64" s="125">
        <f t="shared" si="1"/>
        <v>1839022.0800000001</v>
      </c>
      <c r="F64" s="125">
        <f t="shared" si="2"/>
        <v>3431490</v>
      </c>
      <c r="G64" s="125">
        <f t="shared" si="3"/>
        <v>17410000</v>
      </c>
      <c r="H64" s="125">
        <v>316</v>
      </c>
      <c r="I64" s="125">
        <v>15965</v>
      </c>
      <c r="J64" s="125">
        <v>1129</v>
      </c>
      <c r="K64" s="125">
        <v>1016</v>
      </c>
      <c r="L64" s="125">
        <v>1182</v>
      </c>
      <c r="M64" s="125">
        <v>1521</v>
      </c>
      <c r="N64" s="125">
        <v>1973</v>
      </c>
      <c r="O64" s="125">
        <v>673</v>
      </c>
      <c r="P64" s="125">
        <v>770</v>
      </c>
      <c r="Q64" s="125">
        <v>2188</v>
      </c>
      <c r="R64" s="125">
        <v>1513</v>
      </c>
      <c r="S64" s="125">
        <v>113</v>
      </c>
      <c r="T64" s="125">
        <v>164</v>
      </c>
      <c r="U64" s="125">
        <v>391</v>
      </c>
      <c r="V64" s="125">
        <v>306</v>
      </c>
      <c r="W64" s="125">
        <v>893</v>
      </c>
      <c r="X64" s="125">
        <v>859</v>
      </c>
      <c r="Y64" s="125">
        <v>12797</v>
      </c>
      <c r="Z64" s="125">
        <v>12828</v>
      </c>
    </row>
    <row r="65" spans="2:26" x14ac:dyDescent="0.2">
      <c r="B65" s="125" t="s">
        <v>430</v>
      </c>
      <c r="C65" s="125">
        <f t="shared" si="0"/>
        <v>12038.142857142857</v>
      </c>
      <c r="D65" s="125">
        <f t="shared" si="0"/>
        <v>11047.428571428571</v>
      </c>
      <c r="E65" s="125">
        <f t="shared" si="1"/>
        <v>3571814.4000000004</v>
      </c>
      <c r="F65" s="125">
        <f t="shared" si="2"/>
        <v>6664762.5</v>
      </c>
      <c r="G65" s="125">
        <f t="shared" si="3"/>
        <v>74431000</v>
      </c>
      <c r="H65" s="125">
        <v>379</v>
      </c>
      <c r="I65" s="125">
        <v>71005</v>
      </c>
      <c r="J65" s="125">
        <v>3047</v>
      </c>
      <c r="K65" s="125">
        <v>12910</v>
      </c>
      <c r="L65" s="125">
        <v>17759</v>
      </c>
      <c r="M65" s="125">
        <v>36143</v>
      </c>
      <c r="N65" s="125">
        <v>26834</v>
      </c>
      <c r="O65" s="125">
        <v>12246</v>
      </c>
      <c r="P65" s="125">
        <v>10886</v>
      </c>
      <c r="Q65" s="125">
        <v>13378</v>
      </c>
      <c r="R65" s="125">
        <v>13117</v>
      </c>
      <c r="S65" s="125">
        <v>9307</v>
      </c>
      <c r="T65" s="125">
        <v>8601</v>
      </c>
      <c r="U65" s="125">
        <v>258</v>
      </c>
      <c r="V65" s="125">
        <v>764</v>
      </c>
      <c r="W65" s="125">
        <v>25</v>
      </c>
      <c r="X65" s="125">
        <v>-629</v>
      </c>
      <c r="Y65" s="125">
        <v>24703</v>
      </c>
      <c r="Z65" s="125">
        <v>24915</v>
      </c>
    </row>
    <row r="66" spans="2:26" x14ac:dyDescent="0.2">
      <c r="B66" s="125" t="s">
        <v>232</v>
      </c>
      <c r="C66" s="125">
        <f t="shared" ref="C66:D128" si="4">SUM(K66,M66,O66,Q66,S66,U66,W66)/7</f>
        <v>8176</v>
      </c>
      <c r="D66" s="125">
        <f t="shared" si="4"/>
        <v>8324</v>
      </c>
      <c r="E66" s="125">
        <f t="shared" ref="E66:E128" si="5">Z66*143.36</f>
        <v>4042035.2000000002</v>
      </c>
      <c r="F66" s="125">
        <f t="shared" ref="F66:F128" si="6">Z66*$AB$3</f>
        <v>7542162.5</v>
      </c>
      <c r="G66" s="125">
        <f t="shared" si="3"/>
        <v>97067000</v>
      </c>
      <c r="H66" s="125">
        <v>772</v>
      </c>
      <c r="I66" s="125">
        <v>95536</v>
      </c>
      <c r="J66" s="125">
        <v>759</v>
      </c>
      <c r="K66" s="125">
        <v>15937</v>
      </c>
      <c r="L66" s="125">
        <v>15069</v>
      </c>
      <c r="M66" s="125">
        <v>10633</v>
      </c>
      <c r="N66" s="125">
        <v>10990</v>
      </c>
      <c r="O66" s="125">
        <v>10662</v>
      </c>
      <c r="P66" s="125">
        <v>10283</v>
      </c>
      <c r="Q66" s="125">
        <v>3751</v>
      </c>
      <c r="R66" s="125">
        <v>4910</v>
      </c>
      <c r="S66" s="125">
        <v>4395</v>
      </c>
      <c r="T66" s="125">
        <v>5033</v>
      </c>
      <c r="U66" s="125">
        <v>8311</v>
      </c>
      <c r="V66" s="125">
        <v>8028</v>
      </c>
      <c r="W66" s="125">
        <v>3543</v>
      </c>
      <c r="X66" s="125">
        <v>3955</v>
      </c>
      <c r="Y66" s="125">
        <v>27865</v>
      </c>
      <c r="Z66" s="125">
        <v>28195</v>
      </c>
    </row>
    <row r="67" spans="2:26" x14ac:dyDescent="0.2">
      <c r="B67" s="125" t="s">
        <v>201</v>
      </c>
      <c r="C67" s="125">
        <f t="shared" si="4"/>
        <v>3561.2857142857142</v>
      </c>
      <c r="D67" s="125">
        <f t="shared" si="4"/>
        <v>4263.7142857142853</v>
      </c>
      <c r="E67" s="125">
        <f t="shared" si="5"/>
        <v>4050206.7200000002</v>
      </c>
      <c r="F67" s="125">
        <f t="shared" si="6"/>
        <v>7557410</v>
      </c>
      <c r="G67" s="125">
        <f t="shared" ref="G67:G130" si="7">SUM(H67:J67)*1000</f>
        <v>32856000</v>
      </c>
      <c r="H67" s="125">
        <v>91</v>
      </c>
      <c r="I67" s="125">
        <v>32623</v>
      </c>
      <c r="J67" s="125">
        <v>142</v>
      </c>
      <c r="K67" s="125">
        <v>5923</v>
      </c>
      <c r="L67" s="125">
        <v>5348</v>
      </c>
      <c r="M67" s="125">
        <v>2108</v>
      </c>
      <c r="N67" s="125">
        <v>5047</v>
      </c>
      <c r="O67" s="125">
        <v>1188</v>
      </c>
      <c r="P67" s="125">
        <v>2852</v>
      </c>
      <c r="Q67" s="125">
        <v>1443</v>
      </c>
      <c r="R67" s="125">
        <v>4157</v>
      </c>
      <c r="S67" s="125">
        <v>750</v>
      </c>
      <c r="T67" s="125">
        <v>1990</v>
      </c>
      <c r="U67" s="125">
        <v>7163</v>
      </c>
      <c r="V67" s="125">
        <v>5813</v>
      </c>
      <c r="W67" s="125">
        <v>6354</v>
      </c>
      <c r="X67" s="125">
        <v>4639</v>
      </c>
      <c r="Y67" s="125">
        <v>28070</v>
      </c>
      <c r="Z67" s="125">
        <v>28252</v>
      </c>
    </row>
    <row r="68" spans="2:26" x14ac:dyDescent="0.2">
      <c r="B68" s="125" t="s">
        <v>181</v>
      </c>
      <c r="C68" s="125">
        <f t="shared" si="4"/>
        <v>2061.8571428571427</v>
      </c>
      <c r="D68" s="125">
        <f t="shared" si="4"/>
        <v>1952.5714285714287</v>
      </c>
      <c r="E68" s="125">
        <f t="shared" si="5"/>
        <v>2711080.9600000004</v>
      </c>
      <c r="F68" s="125">
        <f t="shared" si="6"/>
        <v>5058692.5</v>
      </c>
      <c r="G68" s="125">
        <f t="shared" si="7"/>
        <v>40182000</v>
      </c>
      <c r="H68" s="125">
        <v>1760</v>
      </c>
      <c r="I68" s="125">
        <v>38380</v>
      </c>
      <c r="J68" s="125">
        <v>42</v>
      </c>
      <c r="K68" s="125">
        <v>2080</v>
      </c>
      <c r="L68" s="125">
        <v>2280</v>
      </c>
      <c r="M68" s="125">
        <v>2422</v>
      </c>
      <c r="N68" s="125">
        <v>1811</v>
      </c>
      <c r="O68" s="125">
        <v>2870</v>
      </c>
      <c r="P68" s="125">
        <v>3459</v>
      </c>
      <c r="Q68" s="125">
        <v>1299</v>
      </c>
      <c r="R68" s="125">
        <v>407</v>
      </c>
      <c r="S68" s="125">
        <v>1072</v>
      </c>
      <c r="T68" s="125">
        <v>1117</v>
      </c>
      <c r="U68" s="125">
        <v>2874</v>
      </c>
      <c r="V68" s="125">
        <v>2839</v>
      </c>
      <c r="W68" s="125">
        <v>1816</v>
      </c>
      <c r="X68" s="125">
        <v>1755</v>
      </c>
      <c r="Y68" s="125">
        <v>18943</v>
      </c>
      <c r="Z68" s="125">
        <v>18911</v>
      </c>
    </row>
    <row r="69" spans="2:26" x14ac:dyDescent="0.2">
      <c r="B69" s="125" t="s">
        <v>280</v>
      </c>
      <c r="C69" s="125">
        <f t="shared" si="4"/>
        <v>9323.4285714285706</v>
      </c>
      <c r="D69" s="125">
        <f t="shared" si="4"/>
        <v>10816.857142857143</v>
      </c>
      <c r="E69" s="125">
        <f t="shared" si="5"/>
        <v>6143119.3600000003</v>
      </c>
      <c r="F69" s="125">
        <f t="shared" si="6"/>
        <v>11462642.5</v>
      </c>
      <c r="G69" s="125">
        <f t="shared" si="7"/>
        <v>93751000</v>
      </c>
      <c r="H69" s="125">
        <v>390</v>
      </c>
      <c r="I69" s="125">
        <v>92447</v>
      </c>
      <c r="J69" s="125">
        <v>914</v>
      </c>
      <c r="K69" s="125">
        <v>10577</v>
      </c>
      <c r="L69" s="125">
        <v>11083</v>
      </c>
      <c r="M69" s="125">
        <v>7422</v>
      </c>
      <c r="N69" s="125">
        <v>6407</v>
      </c>
      <c r="O69" s="125">
        <v>9235</v>
      </c>
      <c r="P69" s="125">
        <v>15488</v>
      </c>
      <c r="Q69" s="125">
        <v>20115</v>
      </c>
      <c r="R69" s="125">
        <v>20178</v>
      </c>
      <c r="S69" s="125">
        <v>7694</v>
      </c>
      <c r="T69" s="125">
        <v>11261</v>
      </c>
      <c r="U69" s="125">
        <v>6980</v>
      </c>
      <c r="V69" s="125">
        <v>7593</v>
      </c>
      <c r="W69" s="125">
        <v>3241</v>
      </c>
      <c r="X69" s="125">
        <v>3708</v>
      </c>
      <c r="Y69" s="125">
        <v>42759</v>
      </c>
      <c r="Z69" s="125">
        <v>42851</v>
      </c>
    </row>
    <row r="70" spans="2:26" x14ac:dyDescent="0.2">
      <c r="B70" s="125" t="s">
        <v>641</v>
      </c>
      <c r="C70" s="125">
        <f t="shared" si="4"/>
        <v>8143.8208751725042</v>
      </c>
      <c r="D70" s="125">
        <f t="shared" si="4"/>
        <v>8768.9950091652317</v>
      </c>
      <c r="E70" s="125">
        <f t="shared" si="5"/>
        <v>7415726.080000001</v>
      </c>
      <c r="F70" s="125">
        <f t="shared" si="6"/>
        <v>13837240</v>
      </c>
      <c r="G70" s="125">
        <f t="shared" si="7"/>
        <v>96516000</v>
      </c>
      <c r="H70" s="125">
        <v>845</v>
      </c>
      <c r="I70" s="125">
        <v>90556</v>
      </c>
      <c r="J70" s="125">
        <v>5115</v>
      </c>
      <c r="K70" s="125">
        <v>10403.304661535018</v>
      </c>
      <c r="L70" s="125">
        <v>10949.048302939505</v>
      </c>
      <c r="M70" s="125">
        <v>14867.346570397112</v>
      </c>
      <c r="N70" s="125">
        <v>15752.495306859206</v>
      </c>
      <c r="O70" s="125">
        <v>12264.0948942754</v>
      </c>
      <c r="P70" s="125">
        <v>14419.421454357916</v>
      </c>
      <c r="Q70" s="125">
        <v>82</v>
      </c>
      <c r="R70" s="125">
        <v>55</v>
      </c>
      <c r="S70" s="125">
        <v>3513</v>
      </c>
      <c r="T70" s="125">
        <v>4557</v>
      </c>
      <c r="U70" s="125">
        <v>9740</v>
      </c>
      <c r="V70" s="125">
        <v>8657</v>
      </c>
      <c r="W70" s="125">
        <v>6137</v>
      </c>
      <c r="X70" s="125">
        <v>6993</v>
      </c>
      <c r="Y70" s="125">
        <v>51589</v>
      </c>
      <c r="Z70" s="125">
        <v>51728</v>
      </c>
    </row>
    <row r="71" spans="2:26" x14ac:dyDescent="0.2">
      <c r="B71" s="125" t="s">
        <v>159</v>
      </c>
      <c r="C71" s="125">
        <f t="shared" si="4"/>
        <v>901.85714285714289</v>
      </c>
      <c r="D71" s="125">
        <f t="shared" si="4"/>
        <v>1636.4285714285713</v>
      </c>
      <c r="E71" s="125">
        <f t="shared" si="5"/>
        <v>1442918.4000000001</v>
      </c>
      <c r="F71" s="125">
        <f t="shared" si="6"/>
        <v>2692387.5</v>
      </c>
      <c r="G71" s="125">
        <f t="shared" si="7"/>
        <v>31549000</v>
      </c>
      <c r="H71" s="125">
        <v>0</v>
      </c>
      <c r="I71" s="125">
        <v>29995</v>
      </c>
      <c r="J71" s="125">
        <v>1554</v>
      </c>
      <c r="K71" s="125">
        <v>2396</v>
      </c>
      <c r="L71" s="125">
        <v>3242</v>
      </c>
      <c r="M71" s="125">
        <v>875</v>
      </c>
      <c r="N71" s="125">
        <v>3407</v>
      </c>
      <c r="O71" s="125">
        <v>965</v>
      </c>
      <c r="P71" s="125">
        <v>1454</v>
      </c>
      <c r="Q71" s="125">
        <v>773</v>
      </c>
      <c r="R71" s="125">
        <v>1138</v>
      </c>
      <c r="S71" s="125">
        <v>685</v>
      </c>
      <c r="T71" s="125">
        <v>824</v>
      </c>
      <c r="U71" s="125">
        <v>326</v>
      </c>
      <c r="V71" s="125">
        <v>986</v>
      </c>
      <c r="W71" s="125">
        <v>293</v>
      </c>
      <c r="X71" s="125">
        <v>404</v>
      </c>
      <c r="Y71" s="125">
        <v>10083</v>
      </c>
      <c r="Z71" s="125">
        <v>10065</v>
      </c>
    </row>
    <row r="72" spans="2:26" x14ac:dyDescent="0.2">
      <c r="B72" s="125" t="s">
        <v>281</v>
      </c>
      <c r="C72" s="125">
        <f t="shared" si="4"/>
        <v>10094.142857142857</v>
      </c>
      <c r="D72" s="125">
        <f t="shared" si="4"/>
        <v>11257.571428571429</v>
      </c>
      <c r="E72" s="125">
        <f t="shared" si="5"/>
        <v>6253363.2000000002</v>
      </c>
      <c r="F72" s="125">
        <f t="shared" si="6"/>
        <v>11668350</v>
      </c>
      <c r="G72" s="125">
        <f t="shared" si="7"/>
        <v>75164000</v>
      </c>
      <c r="H72" s="125">
        <v>0</v>
      </c>
      <c r="I72" s="125">
        <v>75030</v>
      </c>
      <c r="J72" s="125">
        <v>134</v>
      </c>
      <c r="K72" s="125">
        <v>5824</v>
      </c>
      <c r="L72" s="125">
        <v>7095</v>
      </c>
      <c r="M72" s="125">
        <v>5413</v>
      </c>
      <c r="N72" s="125">
        <v>13828</v>
      </c>
      <c r="O72" s="125">
        <v>5095</v>
      </c>
      <c r="P72" s="125">
        <v>7004</v>
      </c>
      <c r="Q72" s="125">
        <v>5047</v>
      </c>
      <c r="R72" s="125">
        <v>5373</v>
      </c>
      <c r="S72" s="125">
        <v>8734</v>
      </c>
      <c r="T72" s="125">
        <v>8091</v>
      </c>
      <c r="U72" s="125">
        <v>18511</v>
      </c>
      <c r="V72" s="125">
        <v>16287</v>
      </c>
      <c r="W72" s="125">
        <v>22035</v>
      </c>
      <c r="X72" s="125">
        <v>21125</v>
      </c>
      <c r="Y72" s="125">
        <v>42759</v>
      </c>
      <c r="Z72" s="125">
        <v>43620</v>
      </c>
    </row>
    <row r="73" spans="2:26" x14ac:dyDescent="0.2">
      <c r="B73" s="125" t="s">
        <v>154</v>
      </c>
      <c r="C73" s="125">
        <f t="shared" si="4"/>
        <v>2030.2857142857142</v>
      </c>
      <c r="D73" s="125">
        <f t="shared" si="4"/>
        <v>2300.5714285714284</v>
      </c>
      <c r="E73" s="125">
        <f t="shared" si="5"/>
        <v>3428311.0400000005</v>
      </c>
      <c r="F73" s="125">
        <f t="shared" si="6"/>
        <v>6396995</v>
      </c>
      <c r="G73" s="125">
        <f t="shared" si="7"/>
        <v>42098000</v>
      </c>
      <c r="H73" s="125">
        <v>405</v>
      </c>
      <c r="I73" s="125">
        <v>41522</v>
      </c>
      <c r="J73" s="125">
        <v>171</v>
      </c>
      <c r="K73" s="125">
        <v>1874</v>
      </c>
      <c r="L73" s="125">
        <v>2228</v>
      </c>
      <c r="M73" s="125">
        <v>1916</v>
      </c>
      <c r="N73" s="125">
        <v>3080</v>
      </c>
      <c r="O73" s="125">
        <v>1183</v>
      </c>
      <c r="P73" s="125">
        <v>1927</v>
      </c>
      <c r="Q73" s="125">
        <v>2324</v>
      </c>
      <c r="R73" s="125">
        <v>2645</v>
      </c>
      <c r="S73" s="125">
        <v>2111</v>
      </c>
      <c r="T73" s="125">
        <v>2040</v>
      </c>
      <c r="U73" s="125">
        <v>2912</v>
      </c>
      <c r="V73" s="125">
        <v>2675</v>
      </c>
      <c r="W73" s="125">
        <v>1892</v>
      </c>
      <c r="X73" s="125">
        <v>1509</v>
      </c>
      <c r="Y73" s="125">
        <v>23745</v>
      </c>
      <c r="Z73" s="125">
        <v>23914</v>
      </c>
    </row>
    <row r="74" spans="2:26" x14ac:dyDescent="0.2">
      <c r="B74" s="125" t="s">
        <v>355</v>
      </c>
      <c r="C74" s="125">
        <f t="shared" si="4"/>
        <v>51357.285714285717</v>
      </c>
      <c r="D74" s="125">
        <f t="shared" si="4"/>
        <v>58720.571428571428</v>
      </c>
      <c r="E74" s="125">
        <f t="shared" si="5"/>
        <v>14662860.800000001</v>
      </c>
      <c r="F74" s="125">
        <f t="shared" si="6"/>
        <v>27359900</v>
      </c>
      <c r="G74" s="125">
        <f t="shared" si="7"/>
        <v>398651000</v>
      </c>
      <c r="H74" s="125">
        <v>863</v>
      </c>
      <c r="I74" s="125">
        <v>273961</v>
      </c>
      <c r="J74" s="125">
        <v>123827</v>
      </c>
      <c r="K74" s="125">
        <v>61624</v>
      </c>
      <c r="L74" s="125">
        <v>60300</v>
      </c>
      <c r="M74" s="125">
        <v>87897</v>
      </c>
      <c r="N74" s="125">
        <v>89073</v>
      </c>
      <c r="O74" s="125">
        <v>56724</v>
      </c>
      <c r="P74" s="125">
        <v>66677</v>
      </c>
      <c r="Q74" s="125">
        <v>38877</v>
      </c>
      <c r="R74" s="125">
        <v>65198</v>
      </c>
      <c r="S74" s="125">
        <v>67419</v>
      </c>
      <c r="T74" s="125">
        <v>81446</v>
      </c>
      <c r="U74" s="125">
        <v>27633</v>
      </c>
      <c r="V74" s="125">
        <v>29299</v>
      </c>
      <c r="W74" s="125">
        <v>19327</v>
      </c>
      <c r="X74" s="125">
        <v>19051</v>
      </c>
      <c r="Y74" s="125">
        <v>101361</v>
      </c>
      <c r="Z74" s="125">
        <v>102280</v>
      </c>
    </row>
    <row r="75" spans="2:26" x14ac:dyDescent="0.2">
      <c r="B75" s="125" t="s">
        <v>160</v>
      </c>
      <c r="C75" s="125">
        <f t="shared" si="4"/>
        <v>3927.2857142857142</v>
      </c>
      <c r="D75" s="125">
        <f t="shared" si="4"/>
        <v>3954.4285714285716</v>
      </c>
      <c r="E75" s="125">
        <f t="shared" si="5"/>
        <v>3566223.3600000003</v>
      </c>
      <c r="F75" s="125">
        <f t="shared" si="6"/>
        <v>6654330</v>
      </c>
      <c r="G75" s="125">
        <f t="shared" si="7"/>
        <v>86315000</v>
      </c>
      <c r="H75" s="125">
        <v>0</v>
      </c>
      <c r="I75" s="125">
        <v>85845</v>
      </c>
      <c r="J75" s="125">
        <v>470</v>
      </c>
      <c r="K75" s="125">
        <v>13122</v>
      </c>
      <c r="L75" s="125">
        <v>13122</v>
      </c>
      <c r="M75" s="125">
        <v>7806</v>
      </c>
      <c r="N75" s="125">
        <v>7989</v>
      </c>
      <c r="O75" s="125">
        <v>3612</v>
      </c>
      <c r="P75" s="125">
        <v>3610</v>
      </c>
      <c r="Q75" s="125">
        <v>1633</v>
      </c>
      <c r="R75" s="125">
        <v>1641</v>
      </c>
      <c r="S75" s="125">
        <v>550</v>
      </c>
      <c r="T75" s="125">
        <v>513</v>
      </c>
      <c r="U75" s="125">
        <v>448</v>
      </c>
      <c r="V75" s="125">
        <v>488</v>
      </c>
      <c r="W75" s="125">
        <v>320</v>
      </c>
      <c r="X75" s="125">
        <v>318</v>
      </c>
      <c r="Y75" s="125">
        <v>24961</v>
      </c>
      <c r="Z75" s="125">
        <v>24876</v>
      </c>
    </row>
    <row r="76" spans="2:26" x14ac:dyDescent="0.2">
      <c r="B76" s="125" t="s">
        <v>310</v>
      </c>
      <c r="C76" s="125">
        <f t="shared" si="4"/>
        <v>8221.1428571428569</v>
      </c>
      <c r="D76" s="125">
        <f t="shared" si="4"/>
        <v>10749.428571428571</v>
      </c>
      <c r="E76" s="125">
        <f t="shared" si="5"/>
        <v>7994040.3200000003</v>
      </c>
      <c r="F76" s="125">
        <f t="shared" si="6"/>
        <v>14916335</v>
      </c>
      <c r="G76" s="125">
        <f t="shared" si="7"/>
        <v>96540000</v>
      </c>
      <c r="H76" s="125">
        <v>5930</v>
      </c>
      <c r="I76" s="125">
        <v>83596</v>
      </c>
      <c r="J76" s="125">
        <v>7014</v>
      </c>
      <c r="K76" s="125">
        <v>11671</v>
      </c>
      <c r="L76" s="125">
        <v>13061</v>
      </c>
      <c r="M76" s="125">
        <v>9242</v>
      </c>
      <c r="N76" s="125">
        <v>11339</v>
      </c>
      <c r="O76" s="125">
        <v>4205</v>
      </c>
      <c r="P76" s="125">
        <v>6937</v>
      </c>
      <c r="Q76" s="125">
        <v>14099</v>
      </c>
      <c r="R76" s="125">
        <v>14400</v>
      </c>
      <c r="S76" s="125">
        <v>6651</v>
      </c>
      <c r="T76" s="125">
        <v>17468</v>
      </c>
      <c r="U76" s="125">
        <v>8771</v>
      </c>
      <c r="V76" s="125">
        <v>9233</v>
      </c>
      <c r="W76" s="125">
        <v>2909</v>
      </c>
      <c r="X76" s="125">
        <v>2808</v>
      </c>
      <c r="Y76" s="125">
        <v>56030</v>
      </c>
      <c r="Z76" s="125">
        <v>55762</v>
      </c>
    </row>
    <row r="77" spans="2:26" x14ac:dyDescent="0.2">
      <c r="B77" s="125" t="s">
        <v>431</v>
      </c>
      <c r="C77" s="125">
        <f t="shared" si="4"/>
        <v>19564.428571428572</v>
      </c>
      <c r="D77" s="125">
        <f t="shared" si="4"/>
        <v>23034.285714285714</v>
      </c>
      <c r="E77" s="125">
        <f t="shared" si="5"/>
        <v>4607590.4000000004</v>
      </c>
      <c r="F77" s="125">
        <f t="shared" si="6"/>
        <v>8597450</v>
      </c>
      <c r="G77" s="125">
        <f t="shared" si="7"/>
        <v>86206000</v>
      </c>
      <c r="H77" s="125">
        <v>6833</v>
      </c>
      <c r="I77" s="125">
        <v>79110</v>
      </c>
      <c r="J77" s="125">
        <v>263</v>
      </c>
      <c r="K77" s="125">
        <v>35087</v>
      </c>
      <c r="L77" s="125">
        <v>36866</v>
      </c>
      <c r="M77" s="125">
        <v>17562</v>
      </c>
      <c r="N77" s="125">
        <v>33434</v>
      </c>
      <c r="O77" s="125">
        <v>20962</v>
      </c>
      <c r="P77" s="125">
        <v>21907</v>
      </c>
      <c r="Q77" s="125">
        <v>15803</v>
      </c>
      <c r="R77" s="125">
        <v>16609</v>
      </c>
      <c r="S77" s="125">
        <v>10217</v>
      </c>
      <c r="T77" s="125">
        <v>13273</v>
      </c>
      <c r="U77" s="125">
        <v>21343</v>
      </c>
      <c r="V77" s="125">
        <v>23879</v>
      </c>
      <c r="W77" s="125">
        <v>15977</v>
      </c>
      <c r="X77" s="125">
        <v>15272</v>
      </c>
      <c r="Y77" s="125">
        <v>31928</v>
      </c>
      <c r="Z77" s="125">
        <v>32140</v>
      </c>
    </row>
    <row r="78" spans="2:26" x14ac:dyDescent="0.2">
      <c r="B78" s="125" t="s">
        <v>202</v>
      </c>
      <c r="C78" s="125">
        <f t="shared" si="4"/>
        <v>25593.571428571428</v>
      </c>
      <c r="D78" s="125">
        <f t="shared" si="4"/>
        <v>34595.571428571428</v>
      </c>
      <c r="E78" s="125">
        <f t="shared" si="5"/>
        <v>14279372.800000001</v>
      </c>
      <c r="F78" s="125">
        <f t="shared" si="6"/>
        <v>26644337.5</v>
      </c>
      <c r="G78" s="125">
        <f t="shared" si="7"/>
        <v>234939000</v>
      </c>
      <c r="H78" s="125">
        <v>9201</v>
      </c>
      <c r="I78" s="125">
        <v>218961</v>
      </c>
      <c r="J78" s="125">
        <v>6777</v>
      </c>
      <c r="K78" s="125">
        <v>19411</v>
      </c>
      <c r="L78" s="125">
        <v>35684</v>
      </c>
      <c r="M78" s="125">
        <v>19330</v>
      </c>
      <c r="N78" s="125">
        <v>38400</v>
      </c>
      <c r="O78" s="125">
        <v>34109</v>
      </c>
      <c r="P78" s="125">
        <v>38538</v>
      </c>
      <c r="Q78" s="125">
        <v>15367</v>
      </c>
      <c r="R78" s="125">
        <v>28222</v>
      </c>
      <c r="S78" s="125">
        <v>22704</v>
      </c>
      <c r="T78" s="125">
        <v>27788</v>
      </c>
      <c r="U78" s="125">
        <v>29906</v>
      </c>
      <c r="V78" s="125">
        <v>32553</v>
      </c>
      <c r="W78" s="125">
        <v>38328</v>
      </c>
      <c r="X78" s="125">
        <v>40984</v>
      </c>
      <c r="Y78" s="125">
        <v>99328</v>
      </c>
      <c r="Z78" s="125">
        <v>99605</v>
      </c>
    </row>
    <row r="79" spans="2:26" x14ac:dyDescent="0.2">
      <c r="B79" s="125" t="s">
        <v>311</v>
      </c>
      <c r="C79" s="125">
        <f t="shared" si="4"/>
        <v>16043.285714285714</v>
      </c>
      <c r="D79" s="125">
        <f t="shared" si="4"/>
        <v>15787.857142857143</v>
      </c>
      <c r="E79" s="125">
        <f t="shared" si="5"/>
        <v>4035870.7200000002</v>
      </c>
      <c r="F79" s="125">
        <f t="shared" si="6"/>
        <v>7530660</v>
      </c>
      <c r="G79" s="125">
        <f t="shared" si="7"/>
        <v>72229000</v>
      </c>
      <c r="H79" s="125">
        <v>148</v>
      </c>
      <c r="I79" s="125">
        <v>70493</v>
      </c>
      <c r="J79" s="125">
        <v>1588</v>
      </c>
      <c r="K79" s="125">
        <v>13484</v>
      </c>
      <c r="L79" s="125">
        <v>13928</v>
      </c>
      <c r="M79" s="125">
        <v>9316</v>
      </c>
      <c r="N79" s="125">
        <v>9330</v>
      </c>
      <c r="O79" s="125">
        <v>17369</v>
      </c>
      <c r="P79" s="125">
        <v>17108</v>
      </c>
      <c r="Q79" s="125">
        <v>13550</v>
      </c>
      <c r="R79" s="125">
        <v>15332</v>
      </c>
      <c r="S79" s="125">
        <v>18094</v>
      </c>
      <c r="T79" s="125">
        <v>15475</v>
      </c>
      <c r="U79" s="125">
        <v>12709</v>
      </c>
      <c r="V79" s="125">
        <v>12639</v>
      </c>
      <c r="W79" s="125">
        <v>27781</v>
      </c>
      <c r="X79" s="125">
        <v>26703</v>
      </c>
      <c r="Y79" s="125">
        <v>27225</v>
      </c>
      <c r="Z79" s="125">
        <v>28152</v>
      </c>
    </row>
    <row r="80" spans="2:26" x14ac:dyDescent="0.2">
      <c r="B80" s="125" t="s">
        <v>203</v>
      </c>
      <c r="C80" s="125">
        <f t="shared" si="4"/>
        <v>7592.4285714285716</v>
      </c>
      <c r="D80" s="125">
        <f t="shared" si="4"/>
        <v>7772.5714285714284</v>
      </c>
      <c r="E80" s="125">
        <f t="shared" si="5"/>
        <v>3769507.8400000003</v>
      </c>
      <c r="F80" s="125">
        <f t="shared" si="6"/>
        <v>7033645</v>
      </c>
      <c r="G80" s="125">
        <f t="shared" si="7"/>
        <v>56528000</v>
      </c>
      <c r="H80" s="125">
        <v>182</v>
      </c>
      <c r="I80" s="125">
        <v>54313</v>
      </c>
      <c r="J80" s="125">
        <v>2033</v>
      </c>
      <c r="K80" s="125">
        <v>8379</v>
      </c>
      <c r="L80" s="125">
        <v>8261</v>
      </c>
      <c r="M80" s="125">
        <v>9192</v>
      </c>
      <c r="N80" s="125">
        <v>9231</v>
      </c>
      <c r="O80" s="125">
        <v>7417</v>
      </c>
      <c r="P80" s="125">
        <v>7638</v>
      </c>
      <c r="Q80" s="125">
        <v>8298</v>
      </c>
      <c r="R80" s="125">
        <v>8600</v>
      </c>
      <c r="S80" s="125">
        <v>5029</v>
      </c>
      <c r="T80" s="125">
        <v>7660</v>
      </c>
      <c r="U80" s="125">
        <v>5405</v>
      </c>
      <c r="V80" s="125">
        <v>4749</v>
      </c>
      <c r="W80" s="125">
        <v>9427</v>
      </c>
      <c r="X80" s="125">
        <v>8269</v>
      </c>
      <c r="Y80" s="125">
        <v>26243</v>
      </c>
      <c r="Z80" s="125">
        <v>26294</v>
      </c>
    </row>
    <row r="81" spans="2:26" x14ac:dyDescent="0.2">
      <c r="B81" s="125" t="s">
        <v>233</v>
      </c>
      <c r="C81" s="125">
        <f t="shared" si="4"/>
        <v>945.71428571428567</v>
      </c>
      <c r="D81" s="125">
        <f t="shared" si="4"/>
        <v>879</v>
      </c>
      <c r="E81" s="125">
        <f t="shared" si="5"/>
        <v>1623695.3600000001</v>
      </c>
      <c r="F81" s="125">
        <f t="shared" si="6"/>
        <v>3029705</v>
      </c>
      <c r="G81" s="125">
        <f t="shared" si="7"/>
        <v>16715000</v>
      </c>
      <c r="H81" s="125">
        <v>0</v>
      </c>
      <c r="I81" s="125">
        <v>16614</v>
      </c>
      <c r="J81" s="125">
        <v>101</v>
      </c>
      <c r="K81" s="125">
        <v>1432</v>
      </c>
      <c r="L81" s="125">
        <v>1431</v>
      </c>
      <c r="M81" s="125">
        <v>2298</v>
      </c>
      <c r="N81" s="125">
        <v>2054</v>
      </c>
      <c r="O81" s="125">
        <v>1363</v>
      </c>
      <c r="P81" s="125">
        <v>1362</v>
      </c>
      <c r="Q81" s="125">
        <v>420</v>
      </c>
      <c r="R81" s="125">
        <v>400</v>
      </c>
      <c r="S81" s="125">
        <v>317</v>
      </c>
      <c r="T81" s="125">
        <v>317</v>
      </c>
      <c r="U81" s="125">
        <v>522</v>
      </c>
      <c r="V81" s="125">
        <v>502</v>
      </c>
      <c r="W81" s="125">
        <v>268</v>
      </c>
      <c r="X81" s="125">
        <v>87</v>
      </c>
      <c r="Y81" s="125">
        <v>11345</v>
      </c>
      <c r="Z81" s="125">
        <v>11326</v>
      </c>
    </row>
    <row r="82" spans="2:26" x14ac:dyDescent="0.2">
      <c r="B82" s="125" t="s">
        <v>234</v>
      </c>
      <c r="C82" s="125">
        <f t="shared" si="4"/>
        <v>27635.142857142859</v>
      </c>
      <c r="D82" s="125">
        <f t="shared" si="4"/>
        <v>32801.428571428572</v>
      </c>
      <c r="E82" s="125">
        <f t="shared" si="5"/>
        <v>8225566.7200000007</v>
      </c>
      <c r="F82" s="125">
        <f t="shared" si="6"/>
        <v>15348347.5</v>
      </c>
      <c r="G82" s="125">
        <f t="shared" si="7"/>
        <v>171927000</v>
      </c>
      <c r="H82" s="125">
        <v>151</v>
      </c>
      <c r="I82" s="125">
        <v>171253</v>
      </c>
      <c r="J82" s="125">
        <v>523</v>
      </c>
      <c r="K82" s="125">
        <v>25351</v>
      </c>
      <c r="L82" s="125">
        <v>37467</v>
      </c>
      <c r="M82" s="125">
        <v>49323</v>
      </c>
      <c r="N82" s="125">
        <v>63944</v>
      </c>
      <c r="O82" s="125">
        <v>42573</v>
      </c>
      <c r="P82" s="125">
        <v>48878</v>
      </c>
      <c r="Q82" s="125">
        <v>23309</v>
      </c>
      <c r="R82" s="125">
        <v>25054</v>
      </c>
      <c r="S82" s="125">
        <v>18210</v>
      </c>
      <c r="T82" s="125">
        <v>18247</v>
      </c>
      <c r="U82" s="125">
        <v>21206</v>
      </c>
      <c r="V82" s="125">
        <v>20646</v>
      </c>
      <c r="W82" s="125">
        <v>13474</v>
      </c>
      <c r="X82" s="125">
        <v>15374</v>
      </c>
      <c r="Y82" s="125">
        <v>57065</v>
      </c>
      <c r="Z82" s="125">
        <v>57377</v>
      </c>
    </row>
    <row r="83" spans="2:26" x14ac:dyDescent="0.2">
      <c r="B83" s="125" t="s">
        <v>432</v>
      </c>
      <c r="C83" s="125">
        <f t="shared" si="4"/>
        <v>6706.4285714285716</v>
      </c>
      <c r="D83" s="125">
        <f t="shared" si="4"/>
        <v>7618.4285714285716</v>
      </c>
      <c r="E83" s="125">
        <f t="shared" si="5"/>
        <v>3694817.2800000003</v>
      </c>
      <c r="F83" s="125">
        <f t="shared" si="6"/>
        <v>6894277.5</v>
      </c>
      <c r="G83" s="125">
        <f t="shared" si="7"/>
        <v>36773000</v>
      </c>
      <c r="H83" s="125">
        <v>0</v>
      </c>
      <c r="I83" s="125">
        <v>36502</v>
      </c>
      <c r="J83" s="125">
        <v>271</v>
      </c>
      <c r="K83" s="125">
        <v>8133</v>
      </c>
      <c r="L83" s="125">
        <v>8286</v>
      </c>
      <c r="M83" s="125">
        <v>10063</v>
      </c>
      <c r="N83" s="125">
        <v>10308</v>
      </c>
      <c r="O83" s="125">
        <v>5656</v>
      </c>
      <c r="P83" s="125">
        <v>5353</v>
      </c>
      <c r="Q83" s="125">
        <v>8189</v>
      </c>
      <c r="R83" s="125">
        <v>13973</v>
      </c>
      <c r="S83" s="125">
        <v>2693</v>
      </c>
      <c r="T83" s="125">
        <v>3185</v>
      </c>
      <c r="U83" s="125">
        <v>5622</v>
      </c>
      <c r="V83" s="125">
        <v>6415</v>
      </c>
      <c r="W83" s="125">
        <v>6589</v>
      </c>
      <c r="X83" s="125">
        <v>5809</v>
      </c>
      <c r="Y83" s="125">
        <v>25511</v>
      </c>
      <c r="Z83" s="125">
        <v>25773</v>
      </c>
    </row>
    <row r="84" spans="2:26" x14ac:dyDescent="0.2">
      <c r="B84" s="125" t="s">
        <v>182</v>
      </c>
      <c r="C84" s="125">
        <f t="shared" si="4"/>
        <v>1353.8571428571429</v>
      </c>
      <c r="D84" s="125">
        <f t="shared" si="4"/>
        <v>1395</v>
      </c>
      <c r="E84" s="125">
        <f t="shared" si="5"/>
        <v>3410104.3200000003</v>
      </c>
      <c r="F84" s="125">
        <f t="shared" si="6"/>
        <v>6363022.5</v>
      </c>
      <c r="G84" s="125">
        <f t="shared" si="7"/>
        <v>67515000</v>
      </c>
      <c r="H84" s="125">
        <v>9791</v>
      </c>
      <c r="I84" s="125">
        <v>57724</v>
      </c>
      <c r="J84" s="125">
        <v>0</v>
      </c>
      <c r="K84" s="125">
        <v>1469</v>
      </c>
      <c r="L84" s="125">
        <v>1369</v>
      </c>
      <c r="M84" s="125">
        <v>2055</v>
      </c>
      <c r="N84" s="125">
        <v>1908</v>
      </c>
      <c r="O84" s="125">
        <v>2780</v>
      </c>
      <c r="P84" s="125">
        <v>3251</v>
      </c>
      <c r="Q84" s="125">
        <v>1063</v>
      </c>
      <c r="R84" s="125">
        <v>1191</v>
      </c>
      <c r="S84" s="125">
        <v>1514</v>
      </c>
      <c r="T84" s="125">
        <v>1583</v>
      </c>
      <c r="U84" s="125">
        <v>174</v>
      </c>
      <c r="V84" s="125">
        <v>203</v>
      </c>
      <c r="W84" s="125">
        <v>422</v>
      </c>
      <c r="X84" s="125">
        <v>260</v>
      </c>
      <c r="Y84" s="125">
        <v>23904</v>
      </c>
      <c r="Z84" s="125">
        <v>23787</v>
      </c>
    </row>
    <row r="85" spans="2:26" x14ac:dyDescent="0.2">
      <c r="B85" s="125" t="s">
        <v>356</v>
      </c>
      <c r="C85" s="125">
        <f t="shared" si="4"/>
        <v>34280.285714285717</v>
      </c>
      <c r="D85" s="125">
        <f t="shared" si="4"/>
        <v>44820.714285714283</v>
      </c>
      <c r="E85" s="125">
        <f t="shared" si="5"/>
        <v>16983285.760000002</v>
      </c>
      <c r="F85" s="125">
        <f t="shared" si="6"/>
        <v>31689655</v>
      </c>
      <c r="G85" s="125">
        <f t="shared" si="7"/>
        <v>610136000</v>
      </c>
      <c r="H85" s="125">
        <v>1169</v>
      </c>
      <c r="I85" s="125">
        <v>589269</v>
      </c>
      <c r="J85" s="125">
        <v>19698</v>
      </c>
      <c r="K85" s="125">
        <v>38899</v>
      </c>
      <c r="L85" s="125">
        <v>46700</v>
      </c>
      <c r="M85" s="125">
        <v>34712</v>
      </c>
      <c r="N85" s="125">
        <v>32435</v>
      </c>
      <c r="O85" s="125">
        <v>50994</v>
      </c>
      <c r="P85" s="125">
        <v>84006</v>
      </c>
      <c r="Q85" s="125">
        <v>50377</v>
      </c>
      <c r="R85" s="125">
        <v>94318</v>
      </c>
      <c r="S85" s="125">
        <v>21818</v>
      </c>
      <c r="T85" s="125">
        <v>22285</v>
      </c>
      <c r="U85" s="125">
        <v>18603</v>
      </c>
      <c r="V85" s="125">
        <v>19782</v>
      </c>
      <c r="W85" s="125">
        <v>24559</v>
      </c>
      <c r="X85" s="125">
        <v>14219</v>
      </c>
      <c r="Y85" s="125">
        <v>118624</v>
      </c>
      <c r="Z85" s="125">
        <v>118466</v>
      </c>
    </row>
    <row r="86" spans="2:26" x14ac:dyDescent="0.2">
      <c r="B86" s="125" t="s">
        <v>312</v>
      </c>
      <c r="C86" s="125">
        <f t="shared" si="4"/>
        <v>3163.7142857142858</v>
      </c>
      <c r="D86" s="125">
        <f t="shared" si="4"/>
        <v>3258.4285714285716</v>
      </c>
      <c r="E86" s="125">
        <f t="shared" si="5"/>
        <v>2787348.4800000004</v>
      </c>
      <c r="F86" s="125">
        <f t="shared" si="6"/>
        <v>5201002.5</v>
      </c>
      <c r="G86" s="125">
        <f t="shared" si="7"/>
        <v>30581000</v>
      </c>
      <c r="H86" s="125">
        <v>0</v>
      </c>
      <c r="I86" s="125">
        <v>30413</v>
      </c>
      <c r="J86" s="125">
        <v>168</v>
      </c>
      <c r="K86" s="125">
        <v>3399</v>
      </c>
      <c r="L86" s="125">
        <v>2813</v>
      </c>
      <c r="M86" s="125">
        <v>2142</v>
      </c>
      <c r="N86" s="125">
        <v>7120</v>
      </c>
      <c r="O86" s="125">
        <v>2744</v>
      </c>
      <c r="P86" s="125">
        <v>3037</v>
      </c>
      <c r="Q86" s="125">
        <v>3292</v>
      </c>
      <c r="R86" s="125">
        <v>3152</v>
      </c>
      <c r="S86" s="125">
        <v>2063</v>
      </c>
      <c r="T86" s="125">
        <v>1148</v>
      </c>
      <c r="U86" s="125">
        <v>4120</v>
      </c>
      <c r="V86" s="125">
        <v>3234</v>
      </c>
      <c r="W86" s="125">
        <v>4386</v>
      </c>
      <c r="X86" s="125">
        <v>2305</v>
      </c>
      <c r="Y86" s="125">
        <v>19383</v>
      </c>
      <c r="Z86" s="125">
        <v>19443</v>
      </c>
    </row>
    <row r="87" spans="2:26" x14ac:dyDescent="0.2">
      <c r="B87" s="125" t="s">
        <v>433</v>
      </c>
      <c r="C87" s="125">
        <f t="shared" si="4"/>
        <v>8141</v>
      </c>
      <c r="D87" s="125">
        <f t="shared" si="4"/>
        <v>7228.1428571428569</v>
      </c>
      <c r="E87" s="125">
        <f t="shared" si="5"/>
        <v>3879895.0400000005</v>
      </c>
      <c r="F87" s="125">
        <f t="shared" si="6"/>
        <v>7239620</v>
      </c>
      <c r="G87" s="125">
        <f t="shared" si="7"/>
        <v>54698000</v>
      </c>
      <c r="H87" s="125">
        <v>222</v>
      </c>
      <c r="I87" s="125">
        <v>54139</v>
      </c>
      <c r="J87" s="125">
        <v>337</v>
      </c>
      <c r="K87" s="125">
        <v>7391</v>
      </c>
      <c r="L87" s="125">
        <v>6028</v>
      </c>
      <c r="M87" s="125">
        <v>25089</v>
      </c>
      <c r="N87" s="125">
        <v>22499</v>
      </c>
      <c r="O87" s="125">
        <v>8473</v>
      </c>
      <c r="P87" s="125">
        <v>7651</v>
      </c>
      <c r="Q87" s="125">
        <v>7977</v>
      </c>
      <c r="R87" s="125">
        <v>7825</v>
      </c>
      <c r="S87" s="125">
        <v>4678</v>
      </c>
      <c r="T87" s="125">
        <v>3267</v>
      </c>
      <c r="U87" s="125">
        <v>1093</v>
      </c>
      <c r="V87" s="125">
        <v>892</v>
      </c>
      <c r="W87" s="125">
        <v>2286</v>
      </c>
      <c r="X87" s="125">
        <v>2435</v>
      </c>
      <c r="Y87" s="125">
        <v>26863</v>
      </c>
      <c r="Z87" s="125">
        <v>27064</v>
      </c>
    </row>
    <row r="88" spans="2:26" x14ac:dyDescent="0.2">
      <c r="B88" s="125" t="s">
        <v>512</v>
      </c>
      <c r="C88" s="125">
        <f t="shared" si="4"/>
        <v>10099.285714285714</v>
      </c>
      <c r="D88" s="125">
        <f t="shared" si="4"/>
        <v>11236.714285714286</v>
      </c>
      <c r="E88" s="125">
        <f t="shared" si="5"/>
        <v>5844357.1200000001</v>
      </c>
      <c r="F88" s="125">
        <f t="shared" si="6"/>
        <v>10905172.5</v>
      </c>
      <c r="G88" s="125">
        <f t="shared" si="7"/>
        <v>55799000</v>
      </c>
      <c r="H88" s="125">
        <v>7563</v>
      </c>
      <c r="I88" s="125">
        <v>48198</v>
      </c>
      <c r="J88" s="125">
        <v>38</v>
      </c>
      <c r="K88" s="125">
        <v>12767</v>
      </c>
      <c r="L88" s="125">
        <v>14109</v>
      </c>
      <c r="M88" s="125">
        <v>12456</v>
      </c>
      <c r="N88" s="125">
        <v>12651</v>
      </c>
      <c r="O88" s="125">
        <v>5287</v>
      </c>
      <c r="P88" s="125">
        <v>7546</v>
      </c>
      <c r="Q88" s="125">
        <v>12250</v>
      </c>
      <c r="R88" s="125">
        <v>12923</v>
      </c>
      <c r="S88" s="125">
        <v>9034</v>
      </c>
      <c r="T88" s="125">
        <v>11751</v>
      </c>
      <c r="U88" s="125">
        <v>12942</v>
      </c>
      <c r="V88" s="125">
        <v>10953</v>
      </c>
      <c r="W88" s="125">
        <v>5959</v>
      </c>
      <c r="X88" s="125">
        <v>8724</v>
      </c>
      <c r="Y88" s="125">
        <v>40745</v>
      </c>
      <c r="Z88" s="125">
        <v>40767</v>
      </c>
    </row>
    <row r="89" spans="2:26" x14ac:dyDescent="0.2">
      <c r="B89" s="125" t="s">
        <v>235</v>
      </c>
      <c r="C89" s="125">
        <f t="shared" si="4"/>
        <v>3244.5714285714284</v>
      </c>
      <c r="D89" s="125">
        <f t="shared" si="4"/>
        <v>4250.7142857142853</v>
      </c>
      <c r="E89" s="125">
        <f t="shared" si="5"/>
        <v>2681692.1600000001</v>
      </c>
      <c r="F89" s="125">
        <f t="shared" si="6"/>
        <v>5003855</v>
      </c>
      <c r="G89" s="125">
        <f t="shared" si="7"/>
        <v>45029000</v>
      </c>
      <c r="H89" s="125">
        <v>205</v>
      </c>
      <c r="I89" s="125">
        <v>43627</v>
      </c>
      <c r="J89" s="125">
        <v>1197</v>
      </c>
      <c r="K89" s="125">
        <v>6969</v>
      </c>
      <c r="L89" s="125">
        <v>9012</v>
      </c>
      <c r="M89" s="125">
        <v>3082</v>
      </c>
      <c r="N89" s="125">
        <v>3273</v>
      </c>
      <c r="O89" s="125">
        <v>3153</v>
      </c>
      <c r="P89" s="125">
        <v>4990</v>
      </c>
      <c r="Q89" s="125">
        <v>3814</v>
      </c>
      <c r="R89" s="125">
        <v>3488</v>
      </c>
      <c r="S89" s="125">
        <v>1851</v>
      </c>
      <c r="T89" s="125">
        <v>4673</v>
      </c>
      <c r="U89" s="125">
        <v>2405</v>
      </c>
      <c r="V89" s="125">
        <v>2374</v>
      </c>
      <c r="W89" s="125">
        <v>1438</v>
      </c>
      <c r="X89" s="125">
        <v>1945</v>
      </c>
      <c r="Y89" s="125">
        <v>18561</v>
      </c>
      <c r="Z89" s="125">
        <v>18706</v>
      </c>
    </row>
    <row r="90" spans="2:26" x14ac:dyDescent="0.2">
      <c r="B90" s="125" t="s">
        <v>236</v>
      </c>
      <c r="C90" s="125">
        <f t="shared" si="4"/>
        <v>5623.7142857142853</v>
      </c>
      <c r="D90" s="125">
        <f t="shared" si="4"/>
        <v>8870.2857142857138</v>
      </c>
      <c r="E90" s="125">
        <f t="shared" si="5"/>
        <v>3647938.5600000005</v>
      </c>
      <c r="F90" s="125">
        <f t="shared" si="6"/>
        <v>6806805</v>
      </c>
      <c r="G90" s="125">
        <f t="shared" si="7"/>
        <v>49964000</v>
      </c>
      <c r="H90" s="125">
        <v>333</v>
      </c>
      <c r="I90" s="125">
        <v>49316</v>
      </c>
      <c r="J90" s="125">
        <v>315</v>
      </c>
      <c r="K90" s="125">
        <v>9770</v>
      </c>
      <c r="L90" s="125">
        <v>10398</v>
      </c>
      <c r="M90" s="125">
        <v>6668</v>
      </c>
      <c r="N90" s="125">
        <v>18037</v>
      </c>
      <c r="O90" s="125">
        <v>1760</v>
      </c>
      <c r="P90" s="125">
        <v>6483</v>
      </c>
      <c r="Q90" s="125">
        <v>6630</v>
      </c>
      <c r="R90" s="125">
        <v>8645</v>
      </c>
      <c r="S90" s="125">
        <v>4226</v>
      </c>
      <c r="T90" s="125">
        <v>4773</v>
      </c>
      <c r="U90" s="125">
        <v>4227</v>
      </c>
      <c r="V90" s="125">
        <v>6768</v>
      </c>
      <c r="W90" s="125">
        <v>6085</v>
      </c>
      <c r="X90" s="125">
        <v>6988</v>
      </c>
      <c r="Y90" s="125">
        <v>25399</v>
      </c>
      <c r="Z90" s="125">
        <v>25446</v>
      </c>
    </row>
    <row r="91" spans="2:26" x14ac:dyDescent="0.2">
      <c r="B91" s="125" t="s">
        <v>482</v>
      </c>
      <c r="C91" s="125">
        <f t="shared" si="4"/>
        <v>9475.2857142857138</v>
      </c>
      <c r="D91" s="125">
        <f t="shared" si="4"/>
        <v>9086.2857142857138</v>
      </c>
      <c r="E91" s="125">
        <f t="shared" si="5"/>
        <v>4552683.5200000005</v>
      </c>
      <c r="F91" s="125">
        <f t="shared" si="6"/>
        <v>8494997.5</v>
      </c>
      <c r="G91" s="125">
        <f t="shared" si="7"/>
        <v>83408000</v>
      </c>
      <c r="H91" s="125">
        <v>17</v>
      </c>
      <c r="I91" s="125">
        <v>77506</v>
      </c>
      <c r="J91" s="125">
        <v>5885</v>
      </c>
      <c r="K91" s="125">
        <v>6123</v>
      </c>
      <c r="L91" s="125">
        <v>4640</v>
      </c>
      <c r="M91" s="125">
        <v>4432</v>
      </c>
      <c r="N91" s="125">
        <v>4514</v>
      </c>
      <c r="O91" s="125">
        <v>37775</v>
      </c>
      <c r="P91" s="125">
        <v>35837</v>
      </c>
      <c r="Q91" s="125">
        <v>3093</v>
      </c>
      <c r="R91" s="125">
        <v>3364</v>
      </c>
      <c r="S91" s="125">
        <v>6637</v>
      </c>
      <c r="T91" s="125">
        <v>7321</v>
      </c>
      <c r="U91" s="125">
        <v>4715</v>
      </c>
      <c r="V91" s="125">
        <v>5194</v>
      </c>
      <c r="W91" s="125">
        <v>3552</v>
      </c>
      <c r="X91" s="125">
        <v>2734</v>
      </c>
      <c r="Y91" s="125">
        <v>31826</v>
      </c>
      <c r="Z91" s="125">
        <v>31757</v>
      </c>
    </row>
    <row r="92" spans="2:26" ht="10.15" customHeight="1" x14ac:dyDescent="0.2">
      <c r="B92" s="125" t="s">
        <v>313</v>
      </c>
      <c r="C92" s="125">
        <f t="shared" si="4"/>
        <v>16609.714285714286</v>
      </c>
      <c r="D92" s="125">
        <f t="shared" si="4"/>
        <v>16696.714285714286</v>
      </c>
      <c r="E92" s="125">
        <f t="shared" si="5"/>
        <v>5154652.1600000001</v>
      </c>
      <c r="F92" s="125">
        <f t="shared" si="6"/>
        <v>9618230</v>
      </c>
      <c r="G92" s="125">
        <f t="shared" si="7"/>
        <v>76011000</v>
      </c>
      <c r="H92" s="125">
        <v>30</v>
      </c>
      <c r="I92" s="125">
        <v>75141</v>
      </c>
      <c r="J92" s="125">
        <v>840</v>
      </c>
      <c r="K92" s="125">
        <v>7379</v>
      </c>
      <c r="L92" s="125">
        <v>5058</v>
      </c>
      <c r="M92" s="125">
        <v>65847</v>
      </c>
      <c r="N92" s="125">
        <v>64384</v>
      </c>
      <c r="O92" s="125">
        <v>22242</v>
      </c>
      <c r="P92" s="125">
        <v>22545</v>
      </c>
      <c r="Q92" s="125">
        <v>2666</v>
      </c>
      <c r="R92" s="125">
        <v>3242</v>
      </c>
      <c r="S92" s="125">
        <v>5747</v>
      </c>
      <c r="T92" s="125">
        <v>6126</v>
      </c>
      <c r="U92" s="125">
        <v>4803</v>
      </c>
      <c r="V92" s="125">
        <v>7901</v>
      </c>
      <c r="W92" s="125">
        <v>7584</v>
      </c>
      <c r="X92" s="125">
        <v>7621</v>
      </c>
      <c r="Y92" s="125">
        <v>35802</v>
      </c>
      <c r="Z92" s="125">
        <v>35956</v>
      </c>
    </row>
    <row r="93" spans="2:26" x14ac:dyDescent="0.2">
      <c r="B93" s="125" t="s">
        <v>237</v>
      </c>
      <c r="C93" s="125">
        <f t="shared" si="4"/>
        <v>44945.857142857145</v>
      </c>
      <c r="D93" s="125">
        <f t="shared" si="4"/>
        <v>53123</v>
      </c>
      <c r="E93" s="125">
        <f t="shared" si="5"/>
        <v>16431923.200000001</v>
      </c>
      <c r="F93" s="125">
        <f t="shared" si="6"/>
        <v>30660850</v>
      </c>
      <c r="G93" s="125">
        <f t="shared" si="7"/>
        <v>229341000</v>
      </c>
      <c r="H93" s="125">
        <v>506</v>
      </c>
      <c r="I93" s="125">
        <v>225833</v>
      </c>
      <c r="J93" s="125">
        <v>3002</v>
      </c>
      <c r="K93" s="125">
        <v>36924</v>
      </c>
      <c r="L93" s="125">
        <v>51163</v>
      </c>
      <c r="M93" s="125">
        <v>66741</v>
      </c>
      <c r="N93" s="125">
        <v>81433</v>
      </c>
      <c r="O93" s="125">
        <v>25486</v>
      </c>
      <c r="P93" s="125">
        <v>45634</v>
      </c>
      <c r="Q93" s="125">
        <v>40192</v>
      </c>
      <c r="R93" s="125">
        <v>32626</v>
      </c>
      <c r="S93" s="125">
        <v>59958</v>
      </c>
      <c r="T93" s="125">
        <v>70333</v>
      </c>
      <c r="U93" s="125">
        <v>51574</v>
      </c>
      <c r="V93" s="125">
        <v>52951</v>
      </c>
      <c r="W93" s="125">
        <v>33746</v>
      </c>
      <c r="X93" s="125">
        <v>37721</v>
      </c>
      <c r="Y93" s="125">
        <v>113448</v>
      </c>
      <c r="Z93" s="125">
        <v>114620</v>
      </c>
    </row>
    <row r="94" spans="2:26" x14ac:dyDescent="0.2">
      <c r="B94" s="125" t="s">
        <v>282</v>
      </c>
      <c r="C94" s="125">
        <f t="shared" si="4"/>
        <v>4804.5714285714284</v>
      </c>
      <c r="D94" s="125">
        <f t="shared" si="4"/>
        <v>4537.2857142857147</v>
      </c>
      <c r="E94" s="125">
        <f t="shared" si="5"/>
        <v>1306152.9600000002</v>
      </c>
      <c r="F94" s="125">
        <f t="shared" si="6"/>
        <v>2437192.5</v>
      </c>
      <c r="G94" s="125">
        <f t="shared" si="7"/>
        <v>13986000</v>
      </c>
      <c r="H94" s="125">
        <v>0</v>
      </c>
      <c r="I94" s="125">
        <v>13627</v>
      </c>
      <c r="J94" s="125">
        <v>359</v>
      </c>
      <c r="K94" s="125">
        <v>2902</v>
      </c>
      <c r="L94" s="125">
        <v>2962</v>
      </c>
      <c r="M94" s="125">
        <v>1540</v>
      </c>
      <c r="N94" s="125">
        <v>1591</v>
      </c>
      <c r="O94" s="125">
        <v>3203</v>
      </c>
      <c r="P94" s="125">
        <v>3277</v>
      </c>
      <c r="Q94" s="125">
        <v>5419</v>
      </c>
      <c r="R94" s="125">
        <v>5810</v>
      </c>
      <c r="S94" s="125">
        <v>16512</v>
      </c>
      <c r="T94" s="125">
        <v>14084</v>
      </c>
      <c r="U94" s="125">
        <v>2580</v>
      </c>
      <c r="V94" s="125">
        <v>2527</v>
      </c>
      <c r="W94" s="125">
        <v>1476</v>
      </c>
      <c r="X94" s="125">
        <v>1510</v>
      </c>
      <c r="Y94" s="125">
        <v>9000</v>
      </c>
      <c r="Z94" s="125">
        <v>9111</v>
      </c>
    </row>
    <row r="95" spans="2:26" ht="13.15" customHeight="1" x14ac:dyDescent="0.2">
      <c r="B95" s="125" t="s">
        <v>161</v>
      </c>
      <c r="C95" s="125">
        <f t="shared" si="4"/>
        <v>1168.5714285714287</v>
      </c>
      <c r="D95" s="125">
        <f t="shared" si="4"/>
        <v>1958.7142857142858</v>
      </c>
      <c r="E95" s="125">
        <f t="shared" si="5"/>
        <v>2230394.8800000004</v>
      </c>
      <c r="F95" s="125">
        <f t="shared" si="6"/>
        <v>4161765</v>
      </c>
      <c r="G95" s="125">
        <f t="shared" si="7"/>
        <v>71921000</v>
      </c>
      <c r="H95" s="125">
        <v>99</v>
      </c>
      <c r="I95" s="125">
        <v>70752</v>
      </c>
      <c r="J95" s="125">
        <v>1070</v>
      </c>
      <c r="K95" s="125">
        <v>1545</v>
      </c>
      <c r="L95" s="125">
        <v>2114</v>
      </c>
      <c r="M95" s="125">
        <v>1052</v>
      </c>
      <c r="N95" s="125">
        <v>6376</v>
      </c>
      <c r="O95" s="125">
        <v>1334</v>
      </c>
      <c r="P95" s="125">
        <v>1974</v>
      </c>
      <c r="Q95" s="125">
        <v>1922</v>
      </c>
      <c r="R95" s="125">
        <v>1070</v>
      </c>
      <c r="S95" s="125">
        <v>1244</v>
      </c>
      <c r="T95" s="125">
        <v>659</v>
      </c>
      <c r="U95" s="125">
        <v>338</v>
      </c>
      <c r="V95" s="125">
        <v>746</v>
      </c>
      <c r="W95" s="125">
        <v>745</v>
      </c>
      <c r="X95" s="125">
        <v>772</v>
      </c>
      <c r="Y95" s="125">
        <v>15656</v>
      </c>
      <c r="Z95" s="125">
        <v>15558</v>
      </c>
    </row>
    <row r="96" spans="2:26" x14ac:dyDescent="0.2">
      <c r="B96" s="125" t="s">
        <v>434</v>
      </c>
      <c r="C96" s="125">
        <f t="shared" si="4"/>
        <v>5286.2857142857147</v>
      </c>
      <c r="D96" s="125">
        <f t="shared" si="4"/>
        <v>5614.2857142857147</v>
      </c>
      <c r="E96" s="125">
        <f t="shared" si="5"/>
        <v>2691440.6400000001</v>
      </c>
      <c r="F96" s="125">
        <f t="shared" si="6"/>
        <v>5022045</v>
      </c>
      <c r="G96" s="125">
        <f t="shared" si="7"/>
        <v>42810000</v>
      </c>
      <c r="H96" s="125">
        <v>119</v>
      </c>
      <c r="I96" s="125">
        <v>42691</v>
      </c>
      <c r="J96" s="125">
        <v>0</v>
      </c>
      <c r="K96" s="125">
        <v>233</v>
      </c>
      <c r="L96" s="125">
        <v>30</v>
      </c>
      <c r="M96" s="125">
        <v>11629</v>
      </c>
      <c r="N96" s="125">
        <v>11356</v>
      </c>
      <c r="O96" s="125">
        <v>41</v>
      </c>
      <c r="P96" s="125">
        <v>572</v>
      </c>
      <c r="Q96" s="125">
        <v>5278</v>
      </c>
      <c r="R96" s="125">
        <v>6804</v>
      </c>
      <c r="S96" s="125">
        <v>6790</v>
      </c>
      <c r="T96" s="125">
        <v>7359</v>
      </c>
      <c r="U96" s="125">
        <v>5614</v>
      </c>
      <c r="V96" s="125">
        <v>5644</v>
      </c>
      <c r="W96" s="125">
        <v>7419</v>
      </c>
      <c r="X96" s="125">
        <v>7535</v>
      </c>
      <c r="Y96" s="125">
        <v>18554</v>
      </c>
      <c r="Z96" s="125">
        <v>18774</v>
      </c>
    </row>
    <row r="97" spans="2:26" x14ac:dyDescent="0.2">
      <c r="B97" s="125" t="s">
        <v>483</v>
      </c>
      <c r="C97" s="125">
        <f t="shared" si="4"/>
        <v>3978.8571428571427</v>
      </c>
      <c r="D97" s="125">
        <f t="shared" si="4"/>
        <v>5322</v>
      </c>
      <c r="E97" s="125">
        <f t="shared" si="5"/>
        <v>3664711.6800000002</v>
      </c>
      <c r="F97" s="125">
        <f t="shared" si="6"/>
        <v>6838102.5</v>
      </c>
      <c r="G97" s="125">
        <f t="shared" si="7"/>
        <v>65789000</v>
      </c>
      <c r="H97" s="125">
        <v>1568</v>
      </c>
      <c r="I97" s="125">
        <v>60554</v>
      </c>
      <c r="J97" s="125">
        <v>3667</v>
      </c>
      <c r="K97" s="125">
        <v>4155</v>
      </c>
      <c r="L97" s="125">
        <v>9964</v>
      </c>
      <c r="M97" s="125">
        <v>2337</v>
      </c>
      <c r="N97" s="125">
        <v>2395</v>
      </c>
      <c r="O97" s="125">
        <v>4333</v>
      </c>
      <c r="P97" s="125">
        <v>5009</v>
      </c>
      <c r="Q97" s="125">
        <v>5873</v>
      </c>
      <c r="R97" s="125">
        <v>5984</v>
      </c>
      <c r="S97" s="125">
        <v>5744</v>
      </c>
      <c r="T97" s="125">
        <v>5639</v>
      </c>
      <c r="U97" s="125">
        <v>2810</v>
      </c>
      <c r="V97" s="125">
        <v>5479</v>
      </c>
      <c r="W97" s="125">
        <v>2600</v>
      </c>
      <c r="X97" s="125">
        <v>2784</v>
      </c>
      <c r="Y97" s="125">
        <v>25297</v>
      </c>
      <c r="Z97" s="125">
        <v>25563</v>
      </c>
    </row>
    <row r="98" spans="2:26" x14ac:dyDescent="0.2">
      <c r="B98" s="125" t="s">
        <v>435</v>
      </c>
      <c r="C98" s="125">
        <f t="shared" si="4"/>
        <v>42443.714285714283</v>
      </c>
      <c r="D98" s="125">
        <f t="shared" si="4"/>
        <v>58075.428571428572</v>
      </c>
      <c r="E98" s="125">
        <f t="shared" si="5"/>
        <v>32855818.240000002</v>
      </c>
      <c r="F98" s="125">
        <f t="shared" si="6"/>
        <v>61306720</v>
      </c>
      <c r="G98" s="125">
        <f t="shared" si="7"/>
        <v>607296000</v>
      </c>
      <c r="H98" s="125">
        <v>0</v>
      </c>
      <c r="I98" s="125">
        <v>599177</v>
      </c>
      <c r="J98" s="125">
        <v>8119</v>
      </c>
      <c r="K98" s="125">
        <v>89424</v>
      </c>
      <c r="L98" s="125">
        <v>86852</v>
      </c>
      <c r="M98" s="125">
        <v>40715</v>
      </c>
      <c r="N98" s="125">
        <v>40495</v>
      </c>
      <c r="O98" s="125">
        <v>88428</v>
      </c>
      <c r="P98" s="125">
        <v>63759</v>
      </c>
      <c r="Q98" s="125">
        <v>-65471</v>
      </c>
      <c r="R98" s="125">
        <v>63013</v>
      </c>
      <c r="S98" s="125">
        <v>39675</v>
      </c>
      <c r="T98" s="125">
        <v>45818</v>
      </c>
      <c r="U98" s="125">
        <v>59232</v>
      </c>
      <c r="V98" s="125">
        <v>59044</v>
      </c>
      <c r="W98" s="125">
        <v>45103</v>
      </c>
      <c r="X98" s="125">
        <v>47547</v>
      </c>
      <c r="Y98" s="125">
        <v>226879</v>
      </c>
      <c r="Z98" s="125">
        <v>229184</v>
      </c>
    </row>
    <row r="99" spans="2:26" x14ac:dyDescent="0.2">
      <c r="B99" s="125" t="s">
        <v>238</v>
      </c>
      <c r="C99" s="125">
        <f t="shared" si="4"/>
        <v>3650.4285714285716</v>
      </c>
      <c r="D99" s="125">
        <f t="shared" si="4"/>
        <v>4259</v>
      </c>
      <c r="E99" s="125">
        <f t="shared" si="5"/>
        <v>3313192.9600000004</v>
      </c>
      <c r="F99" s="125">
        <f t="shared" si="6"/>
        <v>6182192.5</v>
      </c>
      <c r="G99" s="125">
        <f t="shared" si="7"/>
        <v>56070000</v>
      </c>
      <c r="H99" s="125">
        <v>193</v>
      </c>
      <c r="I99" s="125">
        <v>54233</v>
      </c>
      <c r="J99" s="125">
        <v>1644</v>
      </c>
      <c r="K99" s="125">
        <v>6837</v>
      </c>
      <c r="L99" s="125">
        <v>7358</v>
      </c>
      <c r="M99" s="125">
        <v>6540</v>
      </c>
      <c r="N99" s="125">
        <v>9207</v>
      </c>
      <c r="O99" s="125">
        <v>2757</v>
      </c>
      <c r="P99" s="125">
        <v>3306</v>
      </c>
      <c r="Q99" s="125">
        <v>1818</v>
      </c>
      <c r="R99" s="125">
        <v>2109</v>
      </c>
      <c r="S99" s="125">
        <v>2742</v>
      </c>
      <c r="T99" s="125">
        <v>3206</v>
      </c>
      <c r="U99" s="125">
        <v>2882</v>
      </c>
      <c r="V99" s="125">
        <v>2979</v>
      </c>
      <c r="W99" s="125">
        <v>1977</v>
      </c>
      <c r="X99" s="125">
        <v>1648</v>
      </c>
      <c r="Y99" s="125">
        <v>23029</v>
      </c>
      <c r="Z99" s="125">
        <v>23111</v>
      </c>
    </row>
    <row r="100" spans="2:26" x14ac:dyDescent="0.2">
      <c r="B100" s="125" t="s">
        <v>147</v>
      </c>
      <c r="C100" s="125">
        <f t="shared" si="4"/>
        <v>32923.571428571428</v>
      </c>
      <c r="D100" s="125">
        <f t="shared" si="4"/>
        <v>39233.857142857145</v>
      </c>
      <c r="E100" s="125">
        <f t="shared" si="5"/>
        <v>15370485.760000002</v>
      </c>
      <c r="F100" s="125">
        <f t="shared" si="6"/>
        <v>28680280</v>
      </c>
      <c r="G100" s="125">
        <f t="shared" si="7"/>
        <v>386972000</v>
      </c>
      <c r="H100" s="125">
        <v>42428</v>
      </c>
      <c r="I100" s="125">
        <v>340800</v>
      </c>
      <c r="J100" s="125">
        <v>3744</v>
      </c>
      <c r="K100" s="125">
        <v>32553</v>
      </c>
      <c r="L100" s="125">
        <v>32358</v>
      </c>
      <c r="M100" s="125">
        <v>53917</v>
      </c>
      <c r="N100" s="125">
        <v>65894</v>
      </c>
      <c r="O100" s="125">
        <v>37994</v>
      </c>
      <c r="P100" s="125">
        <v>40393</v>
      </c>
      <c r="Q100" s="125">
        <v>36831</v>
      </c>
      <c r="R100" s="125">
        <v>52604</v>
      </c>
      <c r="S100" s="125">
        <v>35195</v>
      </c>
      <c r="T100" s="125">
        <v>41095</v>
      </c>
      <c r="U100" s="125">
        <v>23825</v>
      </c>
      <c r="V100" s="125">
        <v>26922</v>
      </c>
      <c r="W100" s="125">
        <v>10150</v>
      </c>
      <c r="X100" s="125">
        <v>15371</v>
      </c>
      <c r="Y100" s="125">
        <v>107508</v>
      </c>
      <c r="Z100" s="125">
        <v>107216</v>
      </c>
    </row>
    <row r="101" spans="2:26" x14ac:dyDescent="0.2">
      <c r="B101" s="125" t="s">
        <v>314</v>
      </c>
      <c r="C101" s="125">
        <f t="shared" si="4"/>
        <v>1077.2857142857142</v>
      </c>
      <c r="D101" s="125">
        <f t="shared" si="4"/>
        <v>1067.7142857142858</v>
      </c>
      <c r="E101" s="125">
        <f t="shared" si="5"/>
        <v>2648576.0000000005</v>
      </c>
      <c r="F101" s="125">
        <f t="shared" si="6"/>
        <v>4942062.5</v>
      </c>
      <c r="G101" s="125">
        <f t="shared" si="7"/>
        <v>38671000</v>
      </c>
      <c r="H101" s="125">
        <v>0</v>
      </c>
      <c r="I101" s="125">
        <v>38239</v>
      </c>
      <c r="J101" s="125">
        <v>432</v>
      </c>
      <c r="K101" s="125">
        <v>1415</v>
      </c>
      <c r="L101" s="125">
        <v>1206</v>
      </c>
      <c r="M101" s="125">
        <v>1524</v>
      </c>
      <c r="N101" s="125">
        <v>1870</v>
      </c>
      <c r="O101" s="125">
        <v>2358</v>
      </c>
      <c r="P101" s="125">
        <v>1845</v>
      </c>
      <c r="Q101" s="125">
        <v>809</v>
      </c>
      <c r="R101" s="125">
        <v>1128</v>
      </c>
      <c r="S101" s="125">
        <v>737</v>
      </c>
      <c r="T101" s="125">
        <v>764</v>
      </c>
      <c r="U101" s="125">
        <v>447</v>
      </c>
      <c r="V101" s="125">
        <v>410</v>
      </c>
      <c r="W101" s="125">
        <v>251</v>
      </c>
      <c r="X101" s="125">
        <v>251</v>
      </c>
      <c r="Y101" s="125">
        <v>18474</v>
      </c>
      <c r="Z101" s="125">
        <v>18475</v>
      </c>
    </row>
    <row r="102" spans="2:26" x14ac:dyDescent="0.2">
      <c r="B102" s="125" t="s">
        <v>204</v>
      </c>
      <c r="C102" s="125">
        <f t="shared" si="4"/>
        <v>63790.571428571428</v>
      </c>
      <c r="D102" s="125">
        <f t="shared" si="4"/>
        <v>83198.142857142855</v>
      </c>
      <c r="E102" s="125">
        <f t="shared" si="5"/>
        <v>22690447.360000003</v>
      </c>
      <c r="F102" s="125">
        <f t="shared" si="6"/>
        <v>42338830</v>
      </c>
      <c r="G102" s="125">
        <f t="shared" si="7"/>
        <v>539185000</v>
      </c>
      <c r="H102" s="125">
        <v>9206</v>
      </c>
      <c r="I102" s="125">
        <v>526655</v>
      </c>
      <c r="J102" s="125">
        <v>3324</v>
      </c>
      <c r="K102" s="125">
        <v>68081</v>
      </c>
      <c r="L102" s="125">
        <v>82831</v>
      </c>
      <c r="M102" s="125">
        <v>52336</v>
      </c>
      <c r="N102" s="125">
        <v>72605</v>
      </c>
      <c r="O102" s="125">
        <v>51379</v>
      </c>
      <c r="P102" s="125">
        <v>111169</v>
      </c>
      <c r="Q102" s="125">
        <v>64629</v>
      </c>
      <c r="R102" s="125">
        <v>63083</v>
      </c>
      <c r="S102" s="125">
        <v>44383</v>
      </c>
      <c r="T102" s="125">
        <v>55458</v>
      </c>
      <c r="U102" s="125">
        <v>136626</v>
      </c>
      <c r="V102" s="125">
        <v>144096</v>
      </c>
      <c r="W102" s="125">
        <v>29100</v>
      </c>
      <c r="X102" s="125">
        <v>53145</v>
      </c>
      <c r="Y102" s="125">
        <v>158142</v>
      </c>
      <c r="Z102" s="125">
        <v>158276</v>
      </c>
    </row>
    <row r="103" spans="2:26" x14ac:dyDescent="0.2">
      <c r="B103" s="125" t="s">
        <v>239</v>
      </c>
      <c r="C103" s="125">
        <f t="shared" si="4"/>
        <v>3252.5714285714284</v>
      </c>
      <c r="D103" s="125">
        <f t="shared" si="4"/>
        <v>3465</v>
      </c>
      <c r="E103" s="125">
        <f t="shared" si="5"/>
        <v>4709662.7200000007</v>
      </c>
      <c r="F103" s="125">
        <f t="shared" si="6"/>
        <v>8787910</v>
      </c>
      <c r="G103" s="125">
        <f t="shared" si="7"/>
        <v>49793000</v>
      </c>
      <c r="H103" s="125">
        <v>243</v>
      </c>
      <c r="I103" s="125">
        <v>49550</v>
      </c>
      <c r="J103" s="125">
        <v>0</v>
      </c>
      <c r="K103" s="125">
        <v>2956</v>
      </c>
      <c r="L103" s="125">
        <v>6992</v>
      </c>
      <c r="M103" s="125">
        <v>2987</v>
      </c>
      <c r="N103" s="125">
        <v>3303</v>
      </c>
      <c r="O103" s="125">
        <v>5731</v>
      </c>
      <c r="P103" s="125">
        <v>6398</v>
      </c>
      <c r="Q103" s="125">
        <v>2281</v>
      </c>
      <c r="R103" s="125">
        <v>2035</v>
      </c>
      <c r="S103" s="125">
        <v>2234</v>
      </c>
      <c r="T103" s="125">
        <v>1693</v>
      </c>
      <c r="U103" s="125">
        <v>4315</v>
      </c>
      <c r="V103" s="125">
        <v>1409</v>
      </c>
      <c r="W103" s="125">
        <v>2264</v>
      </c>
      <c r="X103" s="125">
        <v>2425</v>
      </c>
      <c r="Y103" s="125">
        <v>32543</v>
      </c>
      <c r="Z103" s="125">
        <v>32852</v>
      </c>
    </row>
    <row r="104" spans="2:26" x14ac:dyDescent="0.2">
      <c r="B104" s="125" t="s">
        <v>240</v>
      </c>
      <c r="C104" s="125">
        <f t="shared" si="4"/>
        <v>3287</v>
      </c>
      <c r="D104" s="125">
        <f t="shared" si="4"/>
        <v>2757.8571428571427</v>
      </c>
      <c r="E104" s="125">
        <f t="shared" si="5"/>
        <v>3841761.2800000003</v>
      </c>
      <c r="F104" s="125">
        <f t="shared" si="6"/>
        <v>7168465</v>
      </c>
      <c r="G104" s="125">
        <f t="shared" si="7"/>
        <v>34342000</v>
      </c>
      <c r="H104" s="125">
        <v>9</v>
      </c>
      <c r="I104" s="125">
        <v>34001</v>
      </c>
      <c r="J104" s="125">
        <v>332</v>
      </c>
      <c r="K104" s="125">
        <v>6888</v>
      </c>
      <c r="L104" s="125">
        <v>5064</v>
      </c>
      <c r="M104" s="125">
        <v>2500</v>
      </c>
      <c r="N104" s="125">
        <v>2179</v>
      </c>
      <c r="O104" s="125">
        <v>2434</v>
      </c>
      <c r="P104" s="125">
        <v>2103</v>
      </c>
      <c r="Q104" s="125">
        <v>5331</v>
      </c>
      <c r="R104" s="125">
        <v>4980</v>
      </c>
      <c r="S104" s="125">
        <v>1896</v>
      </c>
      <c r="T104" s="125">
        <v>1446</v>
      </c>
      <c r="U104" s="125">
        <v>1723</v>
      </c>
      <c r="V104" s="125">
        <v>1350</v>
      </c>
      <c r="W104" s="125">
        <v>2237</v>
      </c>
      <c r="X104" s="125">
        <v>2183</v>
      </c>
      <c r="Y104" s="125">
        <v>26596</v>
      </c>
      <c r="Z104" s="125">
        <v>26798</v>
      </c>
    </row>
    <row r="105" spans="2:26" x14ac:dyDescent="0.2">
      <c r="B105" s="125" t="s">
        <v>436</v>
      </c>
      <c r="C105" s="125">
        <f t="shared" si="4"/>
        <v>20984.571428571428</v>
      </c>
      <c r="D105" s="125">
        <f t="shared" si="4"/>
        <v>22099.714285714286</v>
      </c>
      <c r="E105" s="125">
        <f t="shared" si="5"/>
        <v>6240174.080000001</v>
      </c>
      <c r="F105" s="125">
        <f t="shared" si="6"/>
        <v>11643740</v>
      </c>
      <c r="G105" s="125">
        <f t="shared" si="7"/>
        <v>105211000</v>
      </c>
      <c r="H105" s="125">
        <v>0</v>
      </c>
      <c r="I105" s="125">
        <v>105010</v>
      </c>
      <c r="J105" s="125">
        <v>201</v>
      </c>
      <c r="K105" s="125">
        <v>27820</v>
      </c>
      <c r="L105" s="125">
        <v>26227</v>
      </c>
      <c r="M105" s="125">
        <v>45615</v>
      </c>
      <c r="N105" s="125">
        <v>46198</v>
      </c>
      <c r="O105" s="125">
        <v>18962</v>
      </c>
      <c r="P105" s="125">
        <v>20618</v>
      </c>
      <c r="Q105" s="125">
        <v>8105</v>
      </c>
      <c r="R105" s="125">
        <v>10232</v>
      </c>
      <c r="S105" s="125">
        <v>10454</v>
      </c>
      <c r="T105" s="125">
        <v>14078</v>
      </c>
      <c r="U105" s="125">
        <v>16322</v>
      </c>
      <c r="V105" s="125">
        <v>17000</v>
      </c>
      <c r="W105" s="125">
        <v>19614</v>
      </c>
      <c r="X105" s="125">
        <v>20345</v>
      </c>
      <c r="Y105" s="125">
        <v>43032</v>
      </c>
      <c r="Z105" s="125">
        <v>43528</v>
      </c>
    </row>
    <row r="106" spans="2:26" x14ac:dyDescent="0.2">
      <c r="B106" s="125" t="s">
        <v>183</v>
      </c>
      <c r="C106" s="125">
        <f t="shared" si="4"/>
        <v>162.28571428571428</v>
      </c>
      <c r="D106" s="125">
        <f t="shared" si="4"/>
        <v>167</v>
      </c>
      <c r="E106" s="125">
        <f t="shared" si="5"/>
        <v>1242931.2000000002</v>
      </c>
      <c r="F106" s="125">
        <f t="shared" si="6"/>
        <v>2319225</v>
      </c>
      <c r="G106" s="125">
        <f t="shared" si="7"/>
        <v>16437000</v>
      </c>
      <c r="H106" s="125">
        <v>176</v>
      </c>
      <c r="I106" s="125">
        <v>16261</v>
      </c>
      <c r="J106" s="125">
        <v>0</v>
      </c>
      <c r="K106" s="125">
        <v>3</v>
      </c>
      <c r="L106" s="125">
        <v>1</v>
      </c>
      <c r="M106" s="125">
        <v>38</v>
      </c>
      <c r="N106" s="125">
        <v>0</v>
      </c>
      <c r="O106" s="125">
        <v>256</v>
      </c>
      <c r="P106" s="125">
        <v>2</v>
      </c>
      <c r="Q106" s="125">
        <v>159</v>
      </c>
      <c r="R106" s="125">
        <v>23</v>
      </c>
      <c r="S106" s="125">
        <v>114</v>
      </c>
      <c r="T106" s="125">
        <v>213</v>
      </c>
      <c r="U106" s="125">
        <v>345</v>
      </c>
      <c r="V106" s="125">
        <v>40</v>
      </c>
      <c r="W106" s="125">
        <v>221</v>
      </c>
      <c r="X106" s="125">
        <v>890</v>
      </c>
      <c r="Y106" s="125">
        <v>8735</v>
      </c>
      <c r="Z106" s="125">
        <v>8670</v>
      </c>
    </row>
    <row r="107" spans="2:26" x14ac:dyDescent="0.2">
      <c r="B107" s="125" t="s">
        <v>437</v>
      </c>
      <c r="C107" s="125">
        <f t="shared" si="4"/>
        <v>1907.1428571428571</v>
      </c>
      <c r="D107" s="125">
        <f t="shared" si="4"/>
        <v>1709.2857142857142</v>
      </c>
      <c r="E107" s="125">
        <f t="shared" si="5"/>
        <v>3086397.4400000004</v>
      </c>
      <c r="F107" s="125">
        <f t="shared" si="6"/>
        <v>5759007.5</v>
      </c>
      <c r="G107" s="125">
        <f t="shared" si="7"/>
        <v>40384000</v>
      </c>
      <c r="H107" s="125">
        <v>0</v>
      </c>
      <c r="I107" s="125">
        <v>39312</v>
      </c>
      <c r="J107" s="125">
        <v>1072</v>
      </c>
      <c r="K107" s="125">
        <v>4062</v>
      </c>
      <c r="L107" s="125">
        <v>3288</v>
      </c>
      <c r="M107" s="125">
        <v>1221</v>
      </c>
      <c r="N107" s="125">
        <v>763</v>
      </c>
      <c r="O107" s="125">
        <v>145</v>
      </c>
      <c r="P107" s="125">
        <v>374</v>
      </c>
      <c r="Q107" s="125">
        <v>2770</v>
      </c>
      <c r="R107" s="125">
        <v>2712</v>
      </c>
      <c r="S107" s="125">
        <v>486</v>
      </c>
      <c r="T107" s="125">
        <v>541</v>
      </c>
      <c r="U107" s="125">
        <v>3781</v>
      </c>
      <c r="V107" s="125">
        <v>3460</v>
      </c>
      <c r="W107" s="125">
        <v>885</v>
      </c>
      <c r="X107" s="125">
        <v>827</v>
      </c>
      <c r="Y107" s="125">
        <v>21502</v>
      </c>
      <c r="Z107" s="125">
        <v>21529</v>
      </c>
    </row>
    <row r="108" spans="2:26" x14ac:dyDescent="0.2">
      <c r="B108" s="125" t="s">
        <v>241</v>
      </c>
      <c r="C108" s="125">
        <f t="shared" si="4"/>
        <v>11691.571428571429</v>
      </c>
      <c r="D108" s="125">
        <f t="shared" si="4"/>
        <v>15081.142857142857</v>
      </c>
      <c r="E108" s="125">
        <f t="shared" si="5"/>
        <v>3845345.2800000003</v>
      </c>
      <c r="F108" s="125">
        <f t="shared" si="6"/>
        <v>7175152.5</v>
      </c>
      <c r="G108" s="125">
        <f t="shared" si="7"/>
        <v>49830000</v>
      </c>
      <c r="H108" s="125">
        <v>0</v>
      </c>
      <c r="I108" s="125">
        <v>47074</v>
      </c>
      <c r="J108" s="125">
        <v>2756</v>
      </c>
      <c r="K108" s="125">
        <v>9084</v>
      </c>
      <c r="L108" s="125">
        <v>10466</v>
      </c>
      <c r="M108" s="125">
        <v>18093</v>
      </c>
      <c r="N108" s="125">
        <v>18753</v>
      </c>
      <c r="O108" s="125">
        <v>15081</v>
      </c>
      <c r="P108" s="125">
        <v>36739</v>
      </c>
      <c r="Q108" s="125">
        <v>5948</v>
      </c>
      <c r="R108" s="125">
        <v>12235</v>
      </c>
      <c r="S108" s="125">
        <v>5067</v>
      </c>
      <c r="T108" s="125">
        <v>5309</v>
      </c>
      <c r="U108" s="125">
        <v>18626</v>
      </c>
      <c r="V108" s="125">
        <v>17762</v>
      </c>
      <c r="W108" s="125">
        <v>9942</v>
      </c>
      <c r="X108" s="125">
        <v>4304</v>
      </c>
      <c r="Y108" s="125">
        <v>26599</v>
      </c>
      <c r="Z108" s="125">
        <v>26823</v>
      </c>
    </row>
    <row r="109" spans="2:26" x14ac:dyDescent="0.2">
      <c r="B109" s="125" t="s">
        <v>438</v>
      </c>
      <c r="C109" s="125">
        <f t="shared" si="4"/>
        <v>11645.142857142857</v>
      </c>
      <c r="D109" s="125">
        <f t="shared" si="4"/>
        <v>11346.428571428571</v>
      </c>
      <c r="E109" s="125">
        <f t="shared" si="5"/>
        <v>5628026.8800000008</v>
      </c>
      <c r="F109" s="125">
        <f t="shared" si="6"/>
        <v>10501515</v>
      </c>
      <c r="G109" s="125">
        <f t="shared" si="7"/>
        <v>73031000</v>
      </c>
      <c r="H109" s="125">
        <v>1392</v>
      </c>
      <c r="I109" s="125">
        <v>71544</v>
      </c>
      <c r="J109" s="125">
        <v>95</v>
      </c>
      <c r="K109" s="125">
        <v>16673</v>
      </c>
      <c r="L109" s="125">
        <v>17193</v>
      </c>
      <c r="M109" s="125">
        <v>7849</v>
      </c>
      <c r="N109" s="125">
        <v>11349</v>
      </c>
      <c r="O109" s="125">
        <v>5118</v>
      </c>
      <c r="P109" s="125">
        <v>11144</v>
      </c>
      <c r="Q109" s="125">
        <v>5825</v>
      </c>
      <c r="R109" s="125">
        <v>11031</v>
      </c>
      <c r="S109" s="125">
        <v>13175</v>
      </c>
      <c r="T109" s="125">
        <v>7341</v>
      </c>
      <c r="U109" s="125">
        <v>18224</v>
      </c>
      <c r="V109" s="125">
        <v>7342</v>
      </c>
      <c r="W109" s="125">
        <v>14652</v>
      </c>
      <c r="X109" s="125">
        <v>14025</v>
      </c>
      <c r="Y109" s="125">
        <v>39070</v>
      </c>
      <c r="Z109" s="125">
        <v>39258</v>
      </c>
    </row>
    <row r="110" spans="2:26" x14ac:dyDescent="0.2">
      <c r="B110" s="125" t="s">
        <v>439</v>
      </c>
      <c r="C110" s="125">
        <f t="shared" si="4"/>
        <v>6422.8571428571431</v>
      </c>
      <c r="D110" s="125">
        <f t="shared" si="4"/>
        <v>9218.4285714285706</v>
      </c>
      <c r="E110" s="125">
        <f t="shared" si="5"/>
        <v>4351262.7200000007</v>
      </c>
      <c r="F110" s="125">
        <f t="shared" si="6"/>
        <v>8119160</v>
      </c>
      <c r="G110" s="125">
        <f t="shared" si="7"/>
        <v>84357000</v>
      </c>
      <c r="H110" s="125">
        <v>1250</v>
      </c>
      <c r="I110" s="125">
        <v>83001</v>
      </c>
      <c r="J110" s="125">
        <v>106</v>
      </c>
      <c r="K110" s="125">
        <v>13284</v>
      </c>
      <c r="L110" s="125">
        <v>15044</v>
      </c>
      <c r="M110" s="125">
        <v>11332</v>
      </c>
      <c r="N110" s="125">
        <v>11938</v>
      </c>
      <c r="O110" s="125">
        <v>-1618</v>
      </c>
      <c r="P110" s="125">
        <v>10483</v>
      </c>
      <c r="Q110" s="125">
        <v>4013</v>
      </c>
      <c r="R110" s="125">
        <v>5723</v>
      </c>
      <c r="S110" s="125">
        <v>4269</v>
      </c>
      <c r="T110" s="125">
        <v>5707</v>
      </c>
      <c r="U110" s="125">
        <v>6134</v>
      </c>
      <c r="V110" s="125">
        <v>6994</v>
      </c>
      <c r="W110" s="125">
        <v>7546</v>
      </c>
      <c r="X110" s="125">
        <v>8640</v>
      </c>
      <c r="Y110" s="125">
        <v>30032</v>
      </c>
      <c r="Z110" s="125">
        <v>30352</v>
      </c>
    </row>
    <row r="111" spans="2:26" x14ac:dyDescent="0.2">
      <c r="B111" s="125" t="s">
        <v>484</v>
      </c>
      <c r="C111" s="125">
        <f t="shared" si="4"/>
        <v>5834.5714285714284</v>
      </c>
      <c r="D111" s="125">
        <f t="shared" si="4"/>
        <v>7072</v>
      </c>
      <c r="E111" s="125">
        <f t="shared" si="5"/>
        <v>2444001.2800000003</v>
      </c>
      <c r="F111" s="125">
        <f t="shared" si="6"/>
        <v>4560340</v>
      </c>
      <c r="G111" s="125">
        <f t="shared" si="7"/>
        <v>33914000</v>
      </c>
      <c r="H111" s="125">
        <v>0</v>
      </c>
      <c r="I111" s="125">
        <v>33764</v>
      </c>
      <c r="J111" s="125">
        <v>150</v>
      </c>
      <c r="K111" s="125">
        <v>5285</v>
      </c>
      <c r="L111" s="125">
        <v>7930</v>
      </c>
      <c r="M111" s="125">
        <v>5127</v>
      </c>
      <c r="N111" s="125">
        <v>11343</v>
      </c>
      <c r="O111" s="125">
        <v>1583</v>
      </c>
      <c r="P111" s="125">
        <v>2792</v>
      </c>
      <c r="Q111" s="125">
        <v>7080</v>
      </c>
      <c r="R111" s="125">
        <v>7061</v>
      </c>
      <c r="S111" s="125">
        <v>1196</v>
      </c>
      <c r="T111" s="125">
        <v>1599</v>
      </c>
      <c r="U111" s="125">
        <v>19228</v>
      </c>
      <c r="V111" s="125">
        <v>18172</v>
      </c>
      <c r="W111" s="125">
        <v>1343</v>
      </c>
      <c r="X111" s="125">
        <v>607</v>
      </c>
      <c r="Y111" s="125">
        <v>17129</v>
      </c>
      <c r="Z111" s="125">
        <v>17048</v>
      </c>
    </row>
    <row r="112" spans="2:26" x14ac:dyDescent="0.2">
      <c r="B112" s="125" t="s">
        <v>357</v>
      </c>
      <c r="C112" s="125">
        <f t="shared" si="4"/>
        <v>1317</v>
      </c>
      <c r="D112" s="125">
        <f t="shared" si="4"/>
        <v>2267.4285714285716</v>
      </c>
      <c r="E112" s="125">
        <f t="shared" si="5"/>
        <v>2086031.3600000001</v>
      </c>
      <c r="F112" s="125">
        <f t="shared" si="6"/>
        <v>3892392.5</v>
      </c>
      <c r="G112" s="125">
        <f t="shared" si="7"/>
        <v>15886000</v>
      </c>
      <c r="H112" s="125">
        <v>0</v>
      </c>
      <c r="I112" s="125">
        <v>14862</v>
      </c>
      <c r="J112" s="125">
        <v>1024</v>
      </c>
      <c r="K112" s="125">
        <v>1969</v>
      </c>
      <c r="L112" s="125">
        <v>1985</v>
      </c>
      <c r="M112" s="125">
        <v>1581</v>
      </c>
      <c r="N112" s="125">
        <v>2801</v>
      </c>
      <c r="O112" s="125">
        <v>1826</v>
      </c>
      <c r="P112" s="125">
        <v>4157</v>
      </c>
      <c r="Q112" s="125">
        <v>896</v>
      </c>
      <c r="R112" s="125">
        <v>1634</v>
      </c>
      <c r="S112" s="125">
        <v>421</v>
      </c>
      <c r="T112" s="125">
        <v>2420</v>
      </c>
      <c r="U112" s="125">
        <v>1341</v>
      </c>
      <c r="V112" s="125">
        <v>1941</v>
      </c>
      <c r="W112" s="125">
        <v>1185</v>
      </c>
      <c r="X112" s="125">
        <v>934</v>
      </c>
      <c r="Y112" s="125">
        <v>14598</v>
      </c>
      <c r="Z112" s="125">
        <v>14551</v>
      </c>
    </row>
    <row r="113" spans="2:26" x14ac:dyDescent="0.2">
      <c r="B113" s="125" t="s">
        <v>440</v>
      </c>
      <c r="C113" s="125">
        <f t="shared" si="4"/>
        <v>7012.7142857142853</v>
      </c>
      <c r="D113" s="125">
        <f t="shared" si="4"/>
        <v>7727.4285714285716</v>
      </c>
      <c r="E113" s="125">
        <f t="shared" si="5"/>
        <v>3774238.7200000002</v>
      </c>
      <c r="F113" s="125">
        <f t="shared" si="6"/>
        <v>7042472.5</v>
      </c>
      <c r="G113" s="125">
        <f t="shared" si="7"/>
        <v>32966000</v>
      </c>
      <c r="H113" s="125">
        <v>289</v>
      </c>
      <c r="I113" s="125">
        <v>32548</v>
      </c>
      <c r="J113" s="125">
        <v>129</v>
      </c>
      <c r="K113" s="125">
        <v>12713</v>
      </c>
      <c r="L113" s="125">
        <v>12813</v>
      </c>
      <c r="M113" s="125">
        <v>6700</v>
      </c>
      <c r="N113" s="125">
        <v>5602</v>
      </c>
      <c r="O113" s="125">
        <v>7594</v>
      </c>
      <c r="P113" s="125">
        <v>9086</v>
      </c>
      <c r="Q113" s="125">
        <v>3572</v>
      </c>
      <c r="R113" s="125">
        <v>4268</v>
      </c>
      <c r="S113" s="125">
        <v>5213</v>
      </c>
      <c r="T113" s="125">
        <v>5008</v>
      </c>
      <c r="U113" s="125">
        <v>6255</v>
      </c>
      <c r="V113" s="125">
        <v>5391</v>
      </c>
      <c r="W113" s="125">
        <v>7042</v>
      </c>
      <c r="X113" s="125">
        <v>11924</v>
      </c>
      <c r="Y113" s="125">
        <v>26241</v>
      </c>
      <c r="Z113" s="125">
        <v>26327</v>
      </c>
    </row>
    <row r="114" spans="2:26" x14ac:dyDescent="0.2">
      <c r="B114" s="125" t="s">
        <v>358</v>
      </c>
      <c r="C114" s="125">
        <f t="shared" si="4"/>
        <v>6465.5714285714284</v>
      </c>
      <c r="D114" s="125">
        <f t="shared" si="4"/>
        <v>6482.1428571428569</v>
      </c>
      <c r="E114" s="125">
        <f t="shared" si="5"/>
        <v>7044136.9600000009</v>
      </c>
      <c r="F114" s="125">
        <f t="shared" si="6"/>
        <v>13143880</v>
      </c>
      <c r="G114" s="125">
        <f t="shared" si="7"/>
        <v>124302000</v>
      </c>
      <c r="H114" s="125">
        <v>176</v>
      </c>
      <c r="I114" s="125">
        <v>122755</v>
      </c>
      <c r="J114" s="125">
        <v>1371</v>
      </c>
      <c r="K114" s="125">
        <v>6830</v>
      </c>
      <c r="L114" s="125">
        <v>6576</v>
      </c>
      <c r="M114" s="125">
        <v>8344</v>
      </c>
      <c r="N114" s="125">
        <v>7879</v>
      </c>
      <c r="O114" s="125">
        <v>5819</v>
      </c>
      <c r="P114" s="125">
        <v>6019</v>
      </c>
      <c r="Q114" s="125">
        <v>5700</v>
      </c>
      <c r="R114" s="125">
        <v>8649</v>
      </c>
      <c r="S114" s="125">
        <v>5648</v>
      </c>
      <c r="T114" s="125">
        <v>4496</v>
      </c>
      <c r="U114" s="125">
        <v>4773</v>
      </c>
      <c r="V114" s="125">
        <v>4443</v>
      </c>
      <c r="W114" s="125">
        <v>8145</v>
      </c>
      <c r="X114" s="125">
        <v>7313</v>
      </c>
      <c r="Y114" s="125">
        <v>48661</v>
      </c>
      <c r="Z114" s="125">
        <v>49136</v>
      </c>
    </row>
    <row r="115" spans="2:26" x14ac:dyDescent="0.2">
      <c r="B115" s="125" t="s">
        <v>404</v>
      </c>
      <c r="C115" s="125">
        <f t="shared" si="4"/>
        <v>9488.8571428571431</v>
      </c>
      <c r="D115" s="125">
        <f t="shared" si="4"/>
        <v>8087</v>
      </c>
      <c r="E115" s="125">
        <f t="shared" si="5"/>
        <v>5397934.0800000001</v>
      </c>
      <c r="F115" s="125">
        <f t="shared" si="6"/>
        <v>10072177.5</v>
      </c>
      <c r="G115" s="125">
        <f t="shared" si="7"/>
        <v>159581000</v>
      </c>
      <c r="H115" s="125">
        <v>0</v>
      </c>
      <c r="I115" s="125">
        <v>151503</v>
      </c>
      <c r="J115" s="125">
        <v>8078</v>
      </c>
      <c r="K115" s="125">
        <v>8727</v>
      </c>
      <c r="L115" s="125">
        <v>7554</v>
      </c>
      <c r="M115" s="125">
        <v>18043</v>
      </c>
      <c r="N115" s="125">
        <v>14801</v>
      </c>
      <c r="O115" s="125">
        <v>7793</v>
      </c>
      <c r="P115" s="125">
        <v>7421</v>
      </c>
      <c r="Q115" s="125">
        <v>5486</v>
      </c>
      <c r="R115" s="125">
        <v>4999</v>
      </c>
      <c r="S115" s="125">
        <v>5753</v>
      </c>
      <c r="T115" s="125">
        <v>5469</v>
      </c>
      <c r="U115" s="125">
        <v>10910</v>
      </c>
      <c r="V115" s="125">
        <v>7350</v>
      </c>
      <c r="W115" s="125">
        <v>9710</v>
      </c>
      <c r="X115" s="125">
        <v>9015</v>
      </c>
      <c r="Y115" s="125">
        <v>37256</v>
      </c>
      <c r="Z115" s="125">
        <v>37653</v>
      </c>
    </row>
    <row r="116" spans="2:26" x14ac:dyDescent="0.2">
      <c r="B116" s="125" t="s">
        <v>441</v>
      </c>
      <c r="C116" s="125">
        <f t="shared" si="4"/>
        <v>9158.8571428571431</v>
      </c>
      <c r="D116" s="125">
        <f t="shared" si="4"/>
        <v>9342.8571428571431</v>
      </c>
      <c r="E116" s="125">
        <f t="shared" si="5"/>
        <v>3376701.4400000004</v>
      </c>
      <c r="F116" s="125">
        <f t="shared" si="6"/>
        <v>6300695</v>
      </c>
      <c r="G116" s="125">
        <f t="shared" si="7"/>
        <v>55594000</v>
      </c>
      <c r="H116" s="125">
        <v>0</v>
      </c>
      <c r="I116" s="125">
        <v>55349</v>
      </c>
      <c r="J116" s="125">
        <v>245</v>
      </c>
      <c r="K116" s="125">
        <v>10754</v>
      </c>
      <c r="L116" s="125">
        <v>10770</v>
      </c>
      <c r="M116" s="125">
        <v>5927</v>
      </c>
      <c r="N116" s="125">
        <v>6493</v>
      </c>
      <c r="O116" s="125">
        <v>7330</v>
      </c>
      <c r="P116" s="125">
        <v>7523</v>
      </c>
      <c r="Q116" s="125">
        <v>5785</v>
      </c>
      <c r="R116" s="125">
        <v>6248</v>
      </c>
      <c r="S116" s="125">
        <v>5360</v>
      </c>
      <c r="T116" s="125">
        <v>5416</v>
      </c>
      <c r="U116" s="125">
        <v>17947</v>
      </c>
      <c r="V116" s="125">
        <v>17774</v>
      </c>
      <c r="W116" s="125">
        <v>11009</v>
      </c>
      <c r="X116" s="125">
        <v>11176</v>
      </c>
      <c r="Y116" s="125">
        <v>23316</v>
      </c>
      <c r="Z116" s="125">
        <v>23554</v>
      </c>
    </row>
    <row r="117" spans="2:26" x14ac:dyDescent="0.2">
      <c r="B117" s="125" t="s">
        <v>586</v>
      </c>
      <c r="C117" s="125">
        <f t="shared" si="4"/>
        <v>9656.7142857142862</v>
      </c>
      <c r="D117" s="125">
        <f t="shared" si="4"/>
        <v>7986.8571428571431</v>
      </c>
      <c r="E117" s="125">
        <f t="shared" si="5"/>
        <v>8221696.0000000009</v>
      </c>
      <c r="F117" s="125">
        <f t="shared" si="6"/>
        <v>15341125</v>
      </c>
      <c r="G117" s="125">
        <f t="shared" si="7"/>
        <v>157275000</v>
      </c>
      <c r="H117" s="125">
        <v>0</v>
      </c>
      <c r="I117" s="125">
        <v>157227</v>
      </c>
      <c r="J117" s="125">
        <v>48</v>
      </c>
      <c r="K117" s="125">
        <v>4488</v>
      </c>
      <c r="L117" s="125">
        <v>2388</v>
      </c>
      <c r="M117" s="125">
        <v>23224</v>
      </c>
      <c r="N117" s="125">
        <v>23821</v>
      </c>
      <c r="O117" s="125">
        <v>5836</v>
      </c>
      <c r="P117" s="125">
        <v>6962</v>
      </c>
      <c r="Q117" s="125">
        <v>9769</v>
      </c>
      <c r="R117" s="125">
        <v>3930</v>
      </c>
      <c r="S117" s="125">
        <v>8354</v>
      </c>
      <c r="T117" s="125">
        <v>3897</v>
      </c>
      <c r="U117" s="125">
        <v>8635</v>
      </c>
      <c r="V117" s="125">
        <v>6966</v>
      </c>
      <c r="W117" s="125">
        <v>7291</v>
      </c>
      <c r="X117" s="125">
        <v>7944</v>
      </c>
      <c r="Y117" s="125">
        <v>56973</v>
      </c>
      <c r="Z117" s="125">
        <v>57350</v>
      </c>
    </row>
    <row r="118" spans="2:26" x14ac:dyDescent="0.2">
      <c r="B118" s="125" t="s">
        <v>359</v>
      </c>
      <c r="C118" s="125">
        <f t="shared" si="4"/>
        <v>41869.714285714283</v>
      </c>
      <c r="D118" s="125">
        <f t="shared" si="4"/>
        <v>45011.714285714283</v>
      </c>
      <c r="E118" s="125">
        <f t="shared" si="5"/>
        <v>5203394.5600000005</v>
      </c>
      <c r="F118" s="125">
        <f t="shared" si="6"/>
        <v>9709180</v>
      </c>
      <c r="G118" s="125">
        <f t="shared" si="7"/>
        <v>166182000</v>
      </c>
      <c r="H118" s="125">
        <v>1241</v>
      </c>
      <c r="I118" s="125">
        <v>162640</v>
      </c>
      <c r="J118" s="125">
        <v>2301</v>
      </c>
      <c r="K118" s="125">
        <v>34563</v>
      </c>
      <c r="L118" s="125">
        <v>35696</v>
      </c>
      <c r="M118" s="125">
        <v>105255</v>
      </c>
      <c r="N118" s="125">
        <v>115324</v>
      </c>
      <c r="O118" s="125">
        <v>41115</v>
      </c>
      <c r="P118" s="125">
        <v>54280</v>
      </c>
      <c r="Q118" s="125">
        <v>20926</v>
      </c>
      <c r="R118" s="125">
        <v>25136</v>
      </c>
      <c r="S118" s="125">
        <v>46107</v>
      </c>
      <c r="T118" s="125">
        <v>44677</v>
      </c>
      <c r="U118" s="125">
        <v>16886</v>
      </c>
      <c r="V118" s="125">
        <v>19488</v>
      </c>
      <c r="W118" s="125">
        <v>28236</v>
      </c>
      <c r="X118" s="125">
        <v>20481</v>
      </c>
      <c r="Y118" s="125">
        <v>35745</v>
      </c>
      <c r="Z118" s="125">
        <v>36296</v>
      </c>
    </row>
    <row r="119" spans="2:26" x14ac:dyDescent="0.2">
      <c r="B119" s="125" t="s">
        <v>360</v>
      </c>
      <c r="C119" s="125">
        <f t="shared" si="4"/>
        <v>24088</v>
      </c>
      <c r="D119" s="125">
        <f t="shared" si="4"/>
        <v>25817.428571428572</v>
      </c>
      <c r="E119" s="125">
        <f t="shared" si="5"/>
        <v>10420838.4</v>
      </c>
      <c r="F119" s="125">
        <f t="shared" si="6"/>
        <v>19444575</v>
      </c>
      <c r="G119" s="125">
        <f t="shared" si="7"/>
        <v>338192000</v>
      </c>
      <c r="H119" s="125">
        <v>16570</v>
      </c>
      <c r="I119" s="125">
        <v>317161</v>
      </c>
      <c r="J119" s="125">
        <v>4461</v>
      </c>
      <c r="K119" s="125">
        <v>17570</v>
      </c>
      <c r="L119" s="125">
        <v>21893</v>
      </c>
      <c r="M119" s="125">
        <v>57171</v>
      </c>
      <c r="N119" s="125">
        <v>68048</v>
      </c>
      <c r="O119" s="125">
        <v>26633</v>
      </c>
      <c r="P119" s="125">
        <v>29227</v>
      </c>
      <c r="Q119" s="125">
        <v>6028</v>
      </c>
      <c r="R119" s="125">
        <v>6580</v>
      </c>
      <c r="S119" s="125">
        <v>6250</v>
      </c>
      <c r="T119" s="125">
        <v>7386</v>
      </c>
      <c r="U119" s="125">
        <v>33908</v>
      </c>
      <c r="V119" s="125">
        <v>29961</v>
      </c>
      <c r="W119" s="125">
        <v>21056</v>
      </c>
      <c r="X119" s="125">
        <v>17627</v>
      </c>
      <c r="Y119" s="125">
        <v>71757</v>
      </c>
      <c r="Z119" s="125">
        <v>72690</v>
      </c>
    </row>
    <row r="120" spans="2:26" x14ac:dyDescent="0.2">
      <c r="B120" s="125" t="s">
        <v>442</v>
      </c>
      <c r="C120" s="125">
        <f t="shared" si="4"/>
        <v>2877.5714285714284</v>
      </c>
      <c r="D120" s="125">
        <f t="shared" si="4"/>
        <v>3392.1428571428573</v>
      </c>
      <c r="E120" s="125">
        <f t="shared" si="5"/>
        <v>1779384.3200000001</v>
      </c>
      <c r="F120" s="125">
        <f t="shared" si="6"/>
        <v>3320210</v>
      </c>
      <c r="G120" s="125">
        <f t="shared" si="7"/>
        <v>27302000</v>
      </c>
      <c r="H120" s="125">
        <v>78</v>
      </c>
      <c r="I120" s="125">
        <v>27224</v>
      </c>
      <c r="J120" s="125">
        <v>0</v>
      </c>
      <c r="K120" s="125">
        <v>4122</v>
      </c>
      <c r="L120" s="125">
        <v>6437</v>
      </c>
      <c r="M120" s="125">
        <v>12502</v>
      </c>
      <c r="N120" s="125">
        <v>14030</v>
      </c>
      <c r="O120" s="125">
        <v>2116</v>
      </c>
      <c r="P120" s="125">
        <v>2234</v>
      </c>
      <c r="Q120" s="125">
        <v>973</v>
      </c>
      <c r="R120" s="125">
        <v>888</v>
      </c>
      <c r="S120" s="125">
        <v>140</v>
      </c>
      <c r="T120" s="125">
        <v>1</v>
      </c>
      <c r="U120" s="125">
        <v>0</v>
      </c>
      <c r="V120" s="125">
        <v>41</v>
      </c>
      <c r="W120" s="125">
        <v>290</v>
      </c>
      <c r="X120" s="125">
        <v>114</v>
      </c>
      <c r="Y120" s="125">
        <v>12381</v>
      </c>
      <c r="Z120" s="125">
        <v>12412</v>
      </c>
    </row>
    <row r="121" spans="2:26" x14ac:dyDescent="0.2">
      <c r="B121" s="125" t="s">
        <v>162</v>
      </c>
      <c r="C121" s="125">
        <f t="shared" si="4"/>
        <v>20791.428571428572</v>
      </c>
      <c r="D121" s="125">
        <f t="shared" si="4"/>
        <v>24896.428571428572</v>
      </c>
      <c r="E121" s="125">
        <f t="shared" si="5"/>
        <v>29087744.000000004</v>
      </c>
      <c r="F121" s="125">
        <f t="shared" si="6"/>
        <v>54275750</v>
      </c>
      <c r="G121" s="125">
        <f t="shared" si="7"/>
        <v>879917000</v>
      </c>
      <c r="H121" s="125">
        <v>4357</v>
      </c>
      <c r="I121" s="125">
        <v>849456</v>
      </c>
      <c r="J121" s="125">
        <v>26104</v>
      </c>
      <c r="K121" s="125">
        <v>13748</v>
      </c>
      <c r="L121" s="125">
        <v>55031</v>
      </c>
      <c r="M121" s="125">
        <v>3700</v>
      </c>
      <c r="N121" s="125">
        <v>1070</v>
      </c>
      <c r="O121" s="125">
        <v>10112</v>
      </c>
      <c r="P121" s="125">
        <v>36757</v>
      </c>
      <c r="Q121" s="125">
        <v>17523</v>
      </c>
      <c r="R121" s="125">
        <v>35469</v>
      </c>
      <c r="S121" s="125">
        <v>56792</v>
      </c>
      <c r="T121" s="125">
        <v>20956</v>
      </c>
      <c r="U121" s="125">
        <v>34736</v>
      </c>
      <c r="V121" s="125">
        <v>11153</v>
      </c>
      <c r="W121" s="125">
        <v>8929</v>
      </c>
      <c r="X121" s="125">
        <v>13839</v>
      </c>
      <c r="Y121" s="125">
        <v>201535</v>
      </c>
      <c r="Z121" s="125">
        <v>202900</v>
      </c>
    </row>
    <row r="122" spans="2:26" x14ac:dyDescent="0.2">
      <c r="B122" s="125" t="s">
        <v>163</v>
      </c>
      <c r="C122" s="125">
        <f t="shared" si="4"/>
        <v>1493.5714285714287</v>
      </c>
      <c r="D122" s="125">
        <f t="shared" si="4"/>
        <v>1488.5714285714287</v>
      </c>
      <c r="E122" s="125">
        <f t="shared" si="5"/>
        <v>1740963.8400000001</v>
      </c>
      <c r="F122" s="125">
        <f t="shared" si="6"/>
        <v>3248520</v>
      </c>
      <c r="G122" s="125">
        <f t="shared" si="7"/>
        <v>29980000</v>
      </c>
      <c r="H122" s="125">
        <v>454</v>
      </c>
      <c r="I122" s="125">
        <v>29106</v>
      </c>
      <c r="J122" s="125">
        <v>420</v>
      </c>
      <c r="K122" s="125">
        <v>3825</v>
      </c>
      <c r="L122" s="125">
        <v>3770</v>
      </c>
      <c r="M122" s="125">
        <v>1708</v>
      </c>
      <c r="N122" s="125">
        <v>3012</v>
      </c>
      <c r="O122" s="125">
        <v>2047</v>
      </c>
      <c r="P122" s="125">
        <v>1407</v>
      </c>
      <c r="Q122" s="125">
        <v>688</v>
      </c>
      <c r="R122" s="125">
        <v>439</v>
      </c>
      <c r="S122" s="125">
        <v>755</v>
      </c>
      <c r="T122" s="125">
        <v>605</v>
      </c>
      <c r="U122" s="125">
        <v>730</v>
      </c>
      <c r="V122" s="125">
        <v>585</v>
      </c>
      <c r="W122" s="125">
        <v>702</v>
      </c>
      <c r="X122" s="125">
        <v>602</v>
      </c>
      <c r="Y122" s="125">
        <v>12166</v>
      </c>
      <c r="Z122" s="125">
        <v>12144</v>
      </c>
    </row>
    <row r="123" spans="2:26" x14ac:dyDescent="0.2">
      <c r="B123" s="125" t="s">
        <v>485</v>
      </c>
      <c r="C123" s="125">
        <f t="shared" si="4"/>
        <v>675.85714285714289</v>
      </c>
      <c r="D123" s="125">
        <f t="shared" si="4"/>
        <v>726.42857142857144</v>
      </c>
      <c r="E123" s="125">
        <f t="shared" si="5"/>
        <v>2038005.7600000002</v>
      </c>
      <c r="F123" s="125">
        <f t="shared" si="6"/>
        <v>3802780</v>
      </c>
      <c r="G123" s="125">
        <f t="shared" si="7"/>
        <v>32044000</v>
      </c>
      <c r="H123" s="125">
        <v>4</v>
      </c>
      <c r="I123" s="125">
        <v>30741</v>
      </c>
      <c r="J123" s="125">
        <v>1299</v>
      </c>
      <c r="K123" s="125">
        <v>725</v>
      </c>
      <c r="L123" s="125">
        <v>1243</v>
      </c>
      <c r="M123" s="125">
        <v>1736</v>
      </c>
      <c r="N123" s="125">
        <v>957</v>
      </c>
      <c r="O123" s="125">
        <v>276</v>
      </c>
      <c r="P123" s="125">
        <v>1876</v>
      </c>
      <c r="Q123" s="125">
        <v>564</v>
      </c>
      <c r="R123" s="125">
        <v>51</v>
      </c>
      <c r="S123" s="125">
        <v>154</v>
      </c>
      <c r="T123" s="125">
        <v>334</v>
      </c>
      <c r="U123" s="125">
        <v>899</v>
      </c>
      <c r="V123" s="125">
        <v>372</v>
      </c>
      <c r="W123" s="125">
        <v>377</v>
      </c>
      <c r="X123" s="125">
        <v>252</v>
      </c>
      <c r="Y123" s="125">
        <v>14329</v>
      </c>
      <c r="Z123" s="125">
        <v>14216</v>
      </c>
    </row>
    <row r="124" spans="2:26" x14ac:dyDescent="0.2">
      <c r="B124" s="125" t="s">
        <v>205</v>
      </c>
      <c r="C124" s="125">
        <f t="shared" si="4"/>
        <v>1976.7142857142858</v>
      </c>
      <c r="D124" s="125">
        <f t="shared" si="4"/>
        <v>4359.1428571428569</v>
      </c>
      <c r="E124" s="125">
        <f t="shared" si="5"/>
        <v>3482931.2000000002</v>
      </c>
      <c r="F124" s="125">
        <f t="shared" si="6"/>
        <v>6498912.5</v>
      </c>
      <c r="G124" s="125">
        <f t="shared" si="7"/>
        <v>58618000</v>
      </c>
      <c r="H124" s="125">
        <v>2248</v>
      </c>
      <c r="I124" s="125">
        <v>56244</v>
      </c>
      <c r="J124" s="125">
        <v>126</v>
      </c>
      <c r="K124" s="125">
        <v>2005</v>
      </c>
      <c r="L124" s="125">
        <v>13321</v>
      </c>
      <c r="M124" s="125">
        <v>1028</v>
      </c>
      <c r="N124" s="125">
        <v>5526</v>
      </c>
      <c r="O124" s="125">
        <v>1648</v>
      </c>
      <c r="P124" s="125">
        <v>1478</v>
      </c>
      <c r="Q124" s="125">
        <v>1527</v>
      </c>
      <c r="R124" s="125">
        <v>1559</v>
      </c>
      <c r="S124" s="125">
        <v>1813</v>
      </c>
      <c r="T124" s="125">
        <v>1842</v>
      </c>
      <c r="U124" s="125">
        <v>2711</v>
      </c>
      <c r="V124" s="125">
        <v>3450</v>
      </c>
      <c r="W124" s="125">
        <v>3105</v>
      </c>
      <c r="X124" s="125">
        <v>3338</v>
      </c>
      <c r="Y124" s="125">
        <v>24271</v>
      </c>
      <c r="Z124" s="125">
        <v>24295</v>
      </c>
    </row>
    <row r="125" spans="2:26" x14ac:dyDescent="0.2">
      <c r="B125" s="125" t="s">
        <v>443</v>
      </c>
      <c r="C125" s="125">
        <f t="shared" si="4"/>
        <v>4610</v>
      </c>
      <c r="D125" s="125">
        <f t="shared" si="4"/>
        <v>4555.4285714285716</v>
      </c>
      <c r="E125" s="125">
        <f t="shared" si="5"/>
        <v>2022666.2400000002</v>
      </c>
      <c r="F125" s="125">
        <f t="shared" si="6"/>
        <v>3774157.5</v>
      </c>
      <c r="G125" s="125">
        <f t="shared" si="7"/>
        <v>15120000</v>
      </c>
      <c r="H125" s="125">
        <v>1213</v>
      </c>
      <c r="I125" s="125">
        <v>13653</v>
      </c>
      <c r="J125" s="125">
        <v>254</v>
      </c>
      <c r="K125" s="125">
        <v>4054</v>
      </c>
      <c r="L125" s="125">
        <v>7039</v>
      </c>
      <c r="M125" s="125">
        <v>5687</v>
      </c>
      <c r="N125" s="125">
        <v>5999</v>
      </c>
      <c r="O125" s="125">
        <v>5494</v>
      </c>
      <c r="P125" s="125">
        <v>5609</v>
      </c>
      <c r="Q125" s="125">
        <v>2267</v>
      </c>
      <c r="R125" s="125">
        <v>2430</v>
      </c>
      <c r="S125" s="125">
        <v>3847</v>
      </c>
      <c r="T125" s="125">
        <v>2308</v>
      </c>
      <c r="U125" s="125">
        <v>2854</v>
      </c>
      <c r="V125" s="125">
        <v>2594</v>
      </c>
      <c r="W125" s="125">
        <v>8067</v>
      </c>
      <c r="X125" s="125">
        <v>5909</v>
      </c>
      <c r="Y125" s="125">
        <v>13907</v>
      </c>
      <c r="Z125" s="125">
        <v>14109</v>
      </c>
    </row>
    <row r="126" spans="2:26" x14ac:dyDescent="0.2">
      <c r="B126" s="125" t="s">
        <v>315</v>
      </c>
      <c r="C126" s="125">
        <f t="shared" si="4"/>
        <v>19926.128142857142</v>
      </c>
      <c r="D126" s="125">
        <f t="shared" si="4"/>
        <v>20686.263857142858</v>
      </c>
      <c r="E126" s="125">
        <f t="shared" si="5"/>
        <v>22911651.840000004</v>
      </c>
      <c r="F126" s="125">
        <f t="shared" si="6"/>
        <v>42751582.5</v>
      </c>
      <c r="G126" s="125">
        <f t="shared" si="7"/>
        <v>627057000</v>
      </c>
      <c r="H126" s="125">
        <v>8788</v>
      </c>
      <c r="I126" s="125">
        <v>605799</v>
      </c>
      <c r="J126" s="125">
        <v>12470</v>
      </c>
      <c r="K126" s="125">
        <v>22096</v>
      </c>
      <c r="L126" s="125">
        <v>22444</v>
      </c>
      <c r="M126" s="125">
        <v>32899</v>
      </c>
      <c r="N126" s="125">
        <v>36777</v>
      </c>
      <c r="O126" s="125">
        <v>31278</v>
      </c>
      <c r="P126" s="125">
        <v>33453</v>
      </c>
      <c r="Q126" s="125">
        <v>21097</v>
      </c>
      <c r="R126" s="125">
        <v>23736</v>
      </c>
      <c r="S126" s="125">
        <v>12777</v>
      </c>
      <c r="T126" s="125">
        <v>13659</v>
      </c>
      <c r="U126" s="125">
        <v>9860.8970000000008</v>
      </c>
      <c r="V126" s="125">
        <v>8257.8469999999998</v>
      </c>
      <c r="W126" s="125">
        <v>9475</v>
      </c>
      <c r="X126" s="125">
        <v>6477</v>
      </c>
      <c r="Y126" s="125">
        <v>159234</v>
      </c>
      <c r="Z126" s="125">
        <v>159819</v>
      </c>
    </row>
    <row r="127" spans="2:26" x14ac:dyDescent="0.2">
      <c r="B127" s="125" t="s">
        <v>521</v>
      </c>
      <c r="C127" s="125">
        <f t="shared" si="4"/>
        <v>439.57142857142856</v>
      </c>
      <c r="D127" s="125">
        <f t="shared" si="4"/>
        <v>574.28571428571433</v>
      </c>
      <c r="E127" s="125">
        <f t="shared" si="5"/>
        <v>841236.4800000001</v>
      </c>
      <c r="F127" s="125">
        <f t="shared" si="6"/>
        <v>1569690</v>
      </c>
      <c r="G127" s="125">
        <f t="shared" si="7"/>
        <v>9854000</v>
      </c>
      <c r="H127" s="125">
        <v>0</v>
      </c>
      <c r="I127" s="125">
        <v>8912</v>
      </c>
      <c r="J127" s="125">
        <v>942</v>
      </c>
      <c r="K127" s="125">
        <v>106</v>
      </c>
      <c r="L127" s="125">
        <v>618</v>
      </c>
      <c r="M127" s="125">
        <v>1199</v>
      </c>
      <c r="N127" s="125">
        <v>680</v>
      </c>
      <c r="O127" s="125">
        <v>174</v>
      </c>
      <c r="P127" s="125">
        <v>870</v>
      </c>
      <c r="Q127" s="125">
        <v>475</v>
      </c>
      <c r="R127" s="125">
        <v>587</v>
      </c>
      <c r="S127" s="125">
        <v>174</v>
      </c>
      <c r="T127" s="125">
        <v>365</v>
      </c>
      <c r="U127" s="125">
        <v>171</v>
      </c>
      <c r="V127" s="125">
        <v>360</v>
      </c>
      <c r="W127" s="125">
        <v>778</v>
      </c>
      <c r="X127" s="125">
        <v>540</v>
      </c>
      <c r="Y127" s="125">
        <v>5666</v>
      </c>
      <c r="Z127" s="125">
        <v>5868</v>
      </c>
    </row>
    <row r="128" spans="2:26" x14ac:dyDescent="0.2">
      <c r="B128" s="125" t="s">
        <v>316</v>
      </c>
      <c r="C128" s="125">
        <f t="shared" si="4"/>
        <v>67080.428571428565</v>
      </c>
      <c r="D128" s="125">
        <f t="shared" si="4"/>
        <v>61917.714285714283</v>
      </c>
      <c r="E128" s="125">
        <f t="shared" si="5"/>
        <v>21117214.720000003</v>
      </c>
      <c r="F128" s="125">
        <f t="shared" si="6"/>
        <v>39403285</v>
      </c>
      <c r="G128" s="125">
        <f t="shared" si="7"/>
        <v>515380000</v>
      </c>
      <c r="H128" s="125">
        <v>434</v>
      </c>
      <c r="I128" s="125">
        <v>482510</v>
      </c>
      <c r="J128" s="125">
        <v>32436</v>
      </c>
      <c r="K128" s="125">
        <v>116650</v>
      </c>
      <c r="L128" s="125">
        <v>87946</v>
      </c>
      <c r="M128" s="125">
        <v>86119</v>
      </c>
      <c r="N128" s="125">
        <v>64508</v>
      </c>
      <c r="O128" s="125">
        <v>75219</v>
      </c>
      <c r="P128" s="125">
        <v>101200</v>
      </c>
      <c r="Q128" s="125">
        <v>61725</v>
      </c>
      <c r="R128" s="125">
        <v>59986</v>
      </c>
      <c r="S128" s="125">
        <v>36900</v>
      </c>
      <c r="T128" s="125">
        <v>41506</v>
      </c>
      <c r="U128" s="125">
        <v>50162</v>
      </c>
      <c r="V128" s="125">
        <v>43057</v>
      </c>
      <c r="W128" s="125">
        <v>42788</v>
      </c>
      <c r="X128" s="125">
        <v>35221</v>
      </c>
      <c r="Y128" s="125">
        <v>145989</v>
      </c>
      <c r="Z128" s="125">
        <v>147302</v>
      </c>
    </row>
    <row r="129" spans="2:35" x14ac:dyDescent="0.2">
      <c r="B129" s="125" t="s">
        <v>444</v>
      </c>
      <c r="C129" s="125">
        <f t="shared" ref="C129:D189" si="8">SUM(K129,M129,O129,Q129,S129,U129,W129)/7</f>
        <v>23035.857142857141</v>
      </c>
      <c r="D129" s="125">
        <f t="shared" si="8"/>
        <v>26206.857142857141</v>
      </c>
      <c r="E129" s="125">
        <f t="shared" ref="E129:E189" si="9">Z129*143.36</f>
        <v>4284743.6800000006</v>
      </c>
      <c r="F129" s="125">
        <f t="shared" ref="F129:F189" si="10">Z129*$AB$3</f>
        <v>7995040</v>
      </c>
      <c r="G129" s="125">
        <f t="shared" si="7"/>
        <v>45082000</v>
      </c>
      <c r="H129" s="125">
        <v>672</v>
      </c>
      <c r="I129" s="125">
        <v>43044</v>
      </c>
      <c r="J129" s="125">
        <v>1366</v>
      </c>
      <c r="K129" s="125">
        <v>29164</v>
      </c>
      <c r="L129" s="125">
        <v>36478</v>
      </c>
      <c r="M129" s="125">
        <v>30056</v>
      </c>
      <c r="N129" s="125">
        <v>39463</v>
      </c>
      <c r="O129" s="125">
        <v>36683</v>
      </c>
      <c r="P129" s="125">
        <v>40740</v>
      </c>
      <c r="Q129" s="125">
        <v>29030</v>
      </c>
      <c r="R129" s="125">
        <v>30687</v>
      </c>
      <c r="S129" s="125">
        <v>24134</v>
      </c>
      <c r="T129" s="125">
        <v>23900</v>
      </c>
      <c r="U129" s="125">
        <v>8317</v>
      </c>
      <c r="V129" s="125">
        <v>8688</v>
      </c>
      <c r="W129" s="125">
        <v>3867</v>
      </c>
      <c r="X129" s="125">
        <v>3492</v>
      </c>
      <c r="Y129" s="125">
        <v>29581</v>
      </c>
      <c r="Z129" s="125">
        <v>29888</v>
      </c>
    </row>
    <row r="130" spans="2:35" x14ac:dyDescent="0.2">
      <c r="B130" s="125" t="s">
        <v>206</v>
      </c>
      <c r="C130" s="125">
        <f t="shared" si="8"/>
        <v>17127.714285714286</v>
      </c>
      <c r="D130" s="125">
        <f t="shared" si="8"/>
        <v>21188.285714285714</v>
      </c>
      <c r="E130" s="125">
        <f t="shared" si="9"/>
        <v>8680878.0800000001</v>
      </c>
      <c r="F130" s="125">
        <f t="shared" si="10"/>
        <v>16197927.5</v>
      </c>
      <c r="G130" s="125">
        <f t="shared" si="7"/>
        <v>192833000</v>
      </c>
      <c r="H130" s="125">
        <v>2008</v>
      </c>
      <c r="I130" s="125">
        <v>176280</v>
      </c>
      <c r="J130" s="125">
        <v>14545</v>
      </c>
      <c r="K130" s="125">
        <v>20419</v>
      </c>
      <c r="L130" s="125">
        <v>26293</v>
      </c>
      <c r="M130" s="125">
        <v>20210</v>
      </c>
      <c r="N130" s="125">
        <v>30194</v>
      </c>
      <c r="O130" s="125">
        <v>29731</v>
      </c>
      <c r="P130" s="125">
        <v>40858</v>
      </c>
      <c r="Q130" s="125">
        <v>23371</v>
      </c>
      <c r="R130" s="125">
        <v>23950</v>
      </c>
      <c r="S130" s="125">
        <v>9947</v>
      </c>
      <c r="T130" s="125">
        <v>11136</v>
      </c>
      <c r="U130" s="125">
        <v>6995</v>
      </c>
      <c r="V130" s="125">
        <v>7228</v>
      </c>
      <c r="W130" s="125">
        <v>9221</v>
      </c>
      <c r="X130" s="125">
        <v>8659</v>
      </c>
      <c r="Y130" s="125">
        <v>60196</v>
      </c>
      <c r="Z130" s="125">
        <v>60553</v>
      </c>
    </row>
    <row r="131" spans="2:35" x14ac:dyDescent="0.2">
      <c r="B131" s="125" t="s">
        <v>242</v>
      </c>
      <c r="C131" s="125">
        <f t="shared" si="8"/>
        <v>33630.142857142855</v>
      </c>
      <c r="D131" s="125">
        <f t="shared" si="8"/>
        <v>35889.285714285717</v>
      </c>
      <c r="E131" s="125">
        <f t="shared" si="9"/>
        <v>6714122.2400000002</v>
      </c>
      <c r="F131" s="125">
        <f t="shared" si="10"/>
        <v>12528095</v>
      </c>
      <c r="G131" s="125">
        <f t="shared" ref="G131:G194" si="11">SUM(H131:J131)*1000</f>
        <v>81368000</v>
      </c>
      <c r="H131" s="125">
        <v>378</v>
      </c>
      <c r="I131" s="125">
        <v>78072</v>
      </c>
      <c r="J131" s="125">
        <v>2918</v>
      </c>
      <c r="K131" s="125">
        <v>24483</v>
      </c>
      <c r="L131" s="125">
        <v>55774</v>
      </c>
      <c r="M131" s="125">
        <v>44881</v>
      </c>
      <c r="N131" s="125">
        <v>45442</v>
      </c>
      <c r="O131" s="125">
        <v>31527</v>
      </c>
      <c r="P131" s="125">
        <v>32142</v>
      </c>
      <c r="Q131" s="125">
        <v>25864</v>
      </c>
      <c r="R131" s="125">
        <v>30869</v>
      </c>
      <c r="S131" s="125">
        <v>31972</v>
      </c>
      <c r="T131" s="125">
        <v>25647</v>
      </c>
      <c r="U131" s="125">
        <v>52097</v>
      </c>
      <c r="V131" s="125">
        <v>41272</v>
      </c>
      <c r="W131" s="125">
        <v>24587</v>
      </c>
      <c r="X131" s="125">
        <v>20079</v>
      </c>
      <c r="Y131" s="125">
        <v>46358</v>
      </c>
      <c r="Z131" s="125">
        <v>46834</v>
      </c>
    </row>
    <row r="132" spans="2:35" x14ac:dyDescent="0.2">
      <c r="B132" s="125" t="s">
        <v>361</v>
      </c>
      <c r="C132" s="125">
        <f t="shared" si="8"/>
        <v>4434.4285714285716</v>
      </c>
      <c r="D132" s="125">
        <f t="shared" si="8"/>
        <v>4453.5714285714284</v>
      </c>
      <c r="E132" s="125">
        <f t="shared" si="9"/>
        <v>2574315.52</v>
      </c>
      <c r="F132" s="125">
        <f t="shared" si="10"/>
        <v>4803497.5</v>
      </c>
      <c r="G132" s="125">
        <f t="shared" si="11"/>
        <v>42426000</v>
      </c>
      <c r="H132" s="125">
        <v>2416</v>
      </c>
      <c r="I132" s="125">
        <v>39095</v>
      </c>
      <c r="J132" s="125">
        <v>915</v>
      </c>
      <c r="K132" s="125">
        <v>3257</v>
      </c>
      <c r="L132" s="125">
        <v>3258</v>
      </c>
      <c r="M132" s="125">
        <v>1634</v>
      </c>
      <c r="N132" s="125">
        <v>1665</v>
      </c>
      <c r="O132" s="125">
        <v>2270</v>
      </c>
      <c r="P132" s="125">
        <v>2870</v>
      </c>
      <c r="Q132" s="125">
        <v>4347</v>
      </c>
      <c r="R132" s="125">
        <v>5567</v>
      </c>
      <c r="S132" s="125">
        <v>5055</v>
      </c>
      <c r="T132" s="125">
        <v>5420</v>
      </c>
      <c r="U132" s="125">
        <v>7472</v>
      </c>
      <c r="V132" s="125">
        <v>5472</v>
      </c>
      <c r="W132" s="125">
        <v>7006</v>
      </c>
      <c r="X132" s="125">
        <v>6923</v>
      </c>
      <c r="Y132" s="125">
        <v>17866</v>
      </c>
      <c r="Z132" s="125">
        <v>17957</v>
      </c>
    </row>
    <row r="133" spans="2:35" x14ac:dyDescent="0.2">
      <c r="B133" s="125" t="s">
        <v>164</v>
      </c>
      <c r="C133" s="125">
        <f t="shared" si="8"/>
        <v>4561.5714285714284</v>
      </c>
      <c r="D133" s="125">
        <f t="shared" si="8"/>
        <v>4720.7142857142853</v>
      </c>
      <c r="E133" s="125">
        <f t="shared" si="9"/>
        <v>2848993.2800000003</v>
      </c>
      <c r="F133" s="125">
        <f t="shared" si="10"/>
        <v>5316027.5</v>
      </c>
      <c r="G133" s="125">
        <f t="shared" si="11"/>
        <v>75278000</v>
      </c>
      <c r="H133" s="125">
        <v>226</v>
      </c>
      <c r="I133" s="125">
        <v>74956</v>
      </c>
      <c r="J133" s="125">
        <v>96</v>
      </c>
      <c r="K133" s="125">
        <v>5653</v>
      </c>
      <c r="L133" s="125">
        <v>5228</v>
      </c>
      <c r="M133" s="125">
        <v>1042</v>
      </c>
      <c r="N133" s="125">
        <v>1511</v>
      </c>
      <c r="O133" s="125">
        <v>3336</v>
      </c>
      <c r="P133" s="125">
        <v>3460</v>
      </c>
      <c r="Q133" s="125">
        <v>2247</v>
      </c>
      <c r="R133" s="125">
        <v>2434</v>
      </c>
      <c r="S133" s="125">
        <v>2850</v>
      </c>
      <c r="T133" s="125">
        <v>2819</v>
      </c>
      <c r="U133" s="125">
        <v>13830</v>
      </c>
      <c r="V133" s="125">
        <v>13830</v>
      </c>
      <c r="W133" s="125">
        <v>2973</v>
      </c>
      <c r="X133" s="125">
        <v>3763</v>
      </c>
      <c r="Y133" s="125">
        <v>19581</v>
      </c>
      <c r="Z133" s="125">
        <v>19873</v>
      </c>
    </row>
    <row r="134" spans="2:35" x14ac:dyDescent="0.2">
      <c r="B134" s="125" t="s">
        <v>185</v>
      </c>
      <c r="C134" s="125">
        <f t="shared" si="8"/>
        <v>1408</v>
      </c>
      <c r="D134" s="125">
        <f t="shared" si="8"/>
        <v>2780.1428571428573</v>
      </c>
      <c r="E134" s="125">
        <f t="shared" si="9"/>
        <v>2263511.04</v>
      </c>
      <c r="F134" s="125">
        <f t="shared" si="10"/>
        <v>4223557.5</v>
      </c>
      <c r="G134" s="125">
        <f t="shared" si="11"/>
        <v>69507000</v>
      </c>
      <c r="H134" s="125">
        <v>493</v>
      </c>
      <c r="I134" s="125">
        <v>68632</v>
      </c>
      <c r="J134" s="125">
        <v>382</v>
      </c>
      <c r="K134" s="125">
        <v>917</v>
      </c>
      <c r="L134" s="125">
        <v>3203</v>
      </c>
      <c r="M134" s="125">
        <v>5695</v>
      </c>
      <c r="N134" s="125">
        <v>12065</v>
      </c>
      <c r="O134" s="125">
        <v>200</v>
      </c>
      <c r="P134" s="125">
        <v>522</v>
      </c>
      <c r="Q134" s="125">
        <v>415</v>
      </c>
      <c r="R134" s="125">
        <v>515</v>
      </c>
      <c r="S134" s="125">
        <v>449</v>
      </c>
      <c r="T134" s="125">
        <v>782</v>
      </c>
      <c r="U134" s="125">
        <v>1041</v>
      </c>
      <c r="V134" s="125">
        <v>830</v>
      </c>
      <c r="W134" s="125">
        <v>1139</v>
      </c>
      <c r="X134" s="125">
        <v>1544</v>
      </c>
      <c r="Y134" s="125">
        <v>15864</v>
      </c>
      <c r="Z134" s="125">
        <v>15789</v>
      </c>
    </row>
    <row r="135" spans="2:35" x14ac:dyDescent="0.2">
      <c r="B135" s="125" t="s">
        <v>243</v>
      </c>
      <c r="C135" s="125">
        <f t="shared" si="8"/>
        <v>4014.5714285714284</v>
      </c>
      <c r="D135" s="125">
        <f t="shared" si="8"/>
        <v>4161.2857142857147</v>
      </c>
      <c r="E135" s="125">
        <f t="shared" si="9"/>
        <v>1742827.5200000003</v>
      </c>
      <c r="F135" s="125">
        <f t="shared" si="10"/>
        <v>3251997.5</v>
      </c>
      <c r="G135" s="125">
        <f t="shared" si="11"/>
        <v>22919000</v>
      </c>
      <c r="H135" s="125">
        <v>1226</v>
      </c>
      <c r="I135" s="125">
        <v>19923</v>
      </c>
      <c r="J135" s="125">
        <v>1770</v>
      </c>
      <c r="K135" s="125">
        <v>3098</v>
      </c>
      <c r="L135" s="125">
        <v>3134</v>
      </c>
      <c r="M135" s="125">
        <v>6142</v>
      </c>
      <c r="N135" s="125">
        <v>6153</v>
      </c>
      <c r="O135" s="125">
        <v>2590</v>
      </c>
      <c r="P135" s="125">
        <v>2699</v>
      </c>
      <c r="Q135" s="125">
        <v>1988</v>
      </c>
      <c r="R135" s="125">
        <v>2003</v>
      </c>
      <c r="S135" s="125">
        <v>4265</v>
      </c>
      <c r="T135" s="125">
        <v>5074</v>
      </c>
      <c r="U135" s="125">
        <v>6083</v>
      </c>
      <c r="V135" s="125">
        <v>6112</v>
      </c>
      <c r="W135" s="125">
        <v>3936</v>
      </c>
      <c r="X135" s="125">
        <v>3954</v>
      </c>
      <c r="Y135" s="125">
        <v>12036</v>
      </c>
      <c r="Z135" s="125">
        <v>12157</v>
      </c>
    </row>
    <row r="136" spans="2:35" x14ac:dyDescent="0.2">
      <c r="B136" s="125" t="s">
        <v>317</v>
      </c>
      <c r="C136" s="125">
        <f t="shared" si="8"/>
        <v>6142.8571428571431</v>
      </c>
      <c r="D136" s="125">
        <f t="shared" si="8"/>
        <v>4220</v>
      </c>
      <c r="E136" s="125">
        <f t="shared" si="9"/>
        <v>5612400.6400000006</v>
      </c>
      <c r="F136" s="125">
        <f t="shared" si="10"/>
        <v>10472357.5</v>
      </c>
      <c r="G136" s="125">
        <f t="shared" si="11"/>
        <v>86655000</v>
      </c>
      <c r="H136" s="125">
        <v>0</v>
      </c>
      <c r="I136" s="125">
        <v>86655</v>
      </c>
      <c r="J136" s="125">
        <v>0</v>
      </c>
      <c r="K136" s="125">
        <v>11882</v>
      </c>
      <c r="L136" s="125">
        <v>7035</v>
      </c>
      <c r="M136" s="125">
        <v>10043</v>
      </c>
      <c r="N136" s="125">
        <v>7044</v>
      </c>
      <c r="O136" s="125">
        <v>4575</v>
      </c>
      <c r="P136" s="125">
        <v>4906</v>
      </c>
      <c r="Q136" s="125">
        <v>2985</v>
      </c>
      <c r="R136" s="125">
        <v>2664</v>
      </c>
      <c r="S136" s="125">
        <v>7648</v>
      </c>
      <c r="T136" s="125">
        <v>4878</v>
      </c>
      <c r="U136" s="125">
        <v>5064</v>
      </c>
      <c r="V136" s="125">
        <v>2191</v>
      </c>
      <c r="W136" s="125">
        <v>803</v>
      </c>
      <c r="X136" s="125">
        <v>822</v>
      </c>
      <c r="Y136" s="125">
        <v>39171</v>
      </c>
      <c r="Z136" s="125">
        <v>39149</v>
      </c>
    </row>
    <row r="137" spans="2:35" x14ac:dyDescent="0.2">
      <c r="B137" s="125" t="s">
        <v>318</v>
      </c>
      <c r="C137" s="125">
        <f t="shared" si="8"/>
        <v>0</v>
      </c>
      <c r="D137" s="125">
        <f t="shared" si="8"/>
        <v>0</v>
      </c>
      <c r="E137" s="125">
        <f t="shared" si="9"/>
        <v>3882188.8000000003</v>
      </c>
      <c r="F137" s="125">
        <f t="shared" si="10"/>
        <v>7243900</v>
      </c>
      <c r="G137" s="125">
        <f t="shared" si="11"/>
        <v>55654000</v>
      </c>
      <c r="H137" s="125">
        <v>0</v>
      </c>
      <c r="I137" s="125">
        <v>53837</v>
      </c>
      <c r="J137" s="125">
        <v>1817</v>
      </c>
      <c r="K137" s="125">
        <v>0</v>
      </c>
      <c r="L137" s="125">
        <v>0</v>
      </c>
      <c r="M137" s="125">
        <v>0</v>
      </c>
      <c r="N137" s="125">
        <v>0</v>
      </c>
      <c r="O137" s="125">
        <v>0</v>
      </c>
      <c r="P137" s="125">
        <v>0</v>
      </c>
      <c r="Q137" s="125">
        <v>0</v>
      </c>
      <c r="R137" s="125">
        <v>0</v>
      </c>
      <c r="S137" s="125">
        <v>0</v>
      </c>
      <c r="T137" s="125">
        <v>0</v>
      </c>
      <c r="U137" s="125">
        <v>0</v>
      </c>
      <c r="V137" s="125">
        <v>0</v>
      </c>
      <c r="W137" s="125">
        <v>0</v>
      </c>
      <c r="X137" s="125">
        <v>0</v>
      </c>
      <c r="Y137" s="125">
        <v>26920</v>
      </c>
      <c r="Z137" s="125">
        <v>27080</v>
      </c>
    </row>
    <row r="138" spans="2:35" x14ac:dyDescent="0.2">
      <c r="B138" s="125" t="s">
        <v>244</v>
      </c>
      <c r="C138" s="125">
        <f t="shared" si="8"/>
        <v>2964.8571428571427</v>
      </c>
      <c r="D138" s="125">
        <f t="shared" si="8"/>
        <v>3474.1428571428573</v>
      </c>
      <c r="E138" s="125">
        <f t="shared" si="9"/>
        <v>2667642.8800000004</v>
      </c>
      <c r="F138" s="125">
        <f t="shared" si="10"/>
        <v>4977640</v>
      </c>
      <c r="G138" s="125">
        <f t="shared" si="11"/>
        <v>54391000</v>
      </c>
      <c r="H138" s="125">
        <v>2030</v>
      </c>
      <c r="I138" s="125">
        <v>52295</v>
      </c>
      <c r="J138" s="125">
        <v>66</v>
      </c>
      <c r="K138" s="125">
        <v>2094</v>
      </c>
      <c r="L138" s="125">
        <v>1925</v>
      </c>
      <c r="M138" s="125">
        <v>7124</v>
      </c>
      <c r="N138" s="125">
        <v>7686</v>
      </c>
      <c r="O138" s="125">
        <v>3146</v>
      </c>
      <c r="P138" s="125">
        <v>5612</v>
      </c>
      <c r="Q138" s="125">
        <v>2574</v>
      </c>
      <c r="R138" s="125">
        <v>2882</v>
      </c>
      <c r="S138" s="125">
        <v>2830</v>
      </c>
      <c r="T138" s="125">
        <v>2821</v>
      </c>
      <c r="U138" s="125">
        <v>2125</v>
      </c>
      <c r="V138" s="125">
        <v>2429</v>
      </c>
      <c r="W138" s="125">
        <v>861</v>
      </c>
      <c r="X138" s="125">
        <v>964</v>
      </c>
      <c r="Y138" s="125">
        <v>18563</v>
      </c>
      <c r="Z138" s="125">
        <v>18608</v>
      </c>
    </row>
    <row r="139" spans="2:35" x14ac:dyDescent="0.2">
      <c r="B139" s="125" t="s">
        <v>186</v>
      </c>
      <c r="C139" s="125">
        <f t="shared" si="8"/>
        <v>10377.699921336358</v>
      </c>
      <c r="D139" s="125">
        <f t="shared" si="8"/>
        <v>23960.457354823255</v>
      </c>
      <c r="E139" s="125">
        <f t="shared" si="9"/>
        <v>7196672.0000000009</v>
      </c>
      <c r="F139" s="125">
        <f t="shared" si="10"/>
        <v>13428500</v>
      </c>
      <c r="G139" s="125">
        <f t="shared" si="11"/>
        <v>135047000</v>
      </c>
      <c r="H139" s="125">
        <v>17318</v>
      </c>
      <c r="I139" s="125">
        <v>103942</v>
      </c>
      <c r="J139" s="125">
        <v>13787</v>
      </c>
      <c r="K139" s="125">
        <v>15860.827969210106</v>
      </c>
      <c r="L139" s="125">
        <v>20465.720307898951</v>
      </c>
      <c r="M139" s="125">
        <v>15253.851985559566</v>
      </c>
      <c r="N139" s="125">
        <v>87947.934296028878</v>
      </c>
      <c r="O139" s="125">
        <v>601.18566271273858</v>
      </c>
      <c r="P139" s="125">
        <v>3874.3289324394018</v>
      </c>
      <c r="Q139" s="125">
        <v>14554.033831872099</v>
      </c>
      <c r="R139" s="125">
        <v>17936.217947395566</v>
      </c>
      <c r="S139" s="125">
        <v>6876</v>
      </c>
      <c r="T139" s="125">
        <v>13997</v>
      </c>
      <c r="U139" s="125">
        <v>13638</v>
      </c>
      <c r="V139" s="125">
        <v>16901</v>
      </c>
      <c r="W139" s="125">
        <v>5860</v>
      </c>
      <c r="X139" s="125">
        <v>6601</v>
      </c>
      <c r="Y139" s="125">
        <v>50201</v>
      </c>
      <c r="Z139" s="125">
        <v>50200</v>
      </c>
      <c r="AH139" s="259"/>
      <c r="AI139" s="259"/>
    </row>
    <row r="140" spans="2:35" x14ac:dyDescent="0.2">
      <c r="B140" s="125" t="s">
        <v>319</v>
      </c>
      <c r="C140" s="125">
        <f t="shared" si="8"/>
        <v>31711.571428571428</v>
      </c>
      <c r="D140" s="125">
        <f t="shared" si="8"/>
        <v>33487.571428571428</v>
      </c>
      <c r="E140" s="125">
        <f t="shared" si="9"/>
        <v>8009236.4800000004</v>
      </c>
      <c r="F140" s="125">
        <f t="shared" si="10"/>
        <v>14944690</v>
      </c>
      <c r="G140" s="125">
        <f t="shared" si="11"/>
        <v>138477000</v>
      </c>
      <c r="H140" s="125">
        <v>1874</v>
      </c>
      <c r="I140" s="125">
        <v>136603</v>
      </c>
      <c r="J140" s="125">
        <v>0</v>
      </c>
      <c r="K140" s="125">
        <v>49907</v>
      </c>
      <c r="L140" s="125">
        <v>55493</v>
      </c>
      <c r="M140" s="125">
        <v>42231</v>
      </c>
      <c r="N140" s="125">
        <v>45094</v>
      </c>
      <c r="O140" s="125">
        <v>21888</v>
      </c>
      <c r="P140" s="125">
        <v>22920</v>
      </c>
      <c r="Q140" s="125">
        <v>33869</v>
      </c>
      <c r="R140" s="125">
        <v>45843</v>
      </c>
      <c r="S140" s="125">
        <v>18490</v>
      </c>
      <c r="T140" s="125">
        <v>20128</v>
      </c>
      <c r="U140" s="125">
        <v>25758</v>
      </c>
      <c r="V140" s="125">
        <v>21444</v>
      </c>
      <c r="W140" s="125">
        <v>29838</v>
      </c>
      <c r="X140" s="125">
        <v>23491</v>
      </c>
      <c r="Y140" s="125">
        <v>54937</v>
      </c>
      <c r="Z140" s="125">
        <v>55868</v>
      </c>
    </row>
    <row r="141" spans="2:35" x14ac:dyDescent="0.2">
      <c r="B141" s="125" t="s">
        <v>486</v>
      </c>
      <c r="C141" s="125">
        <f t="shared" si="8"/>
        <v>12973</v>
      </c>
      <c r="D141" s="125">
        <f t="shared" si="8"/>
        <v>13066.857142857143</v>
      </c>
      <c r="E141" s="125">
        <f t="shared" si="9"/>
        <v>12446371.840000002</v>
      </c>
      <c r="F141" s="125">
        <f t="shared" si="10"/>
        <v>23224082.5</v>
      </c>
      <c r="G141" s="125">
        <f t="shared" si="11"/>
        <v>264352000</v>
      </c>
      <c r="H141" s="125">
        <v>27132</v>
      </c>
      <c r="I141" s="125">
        <v>229832</v>
      </c>
      <c r="J141" s="125">
        <v>7388</v>
      </c>
      <c r="K141" s="125">
        <v>15659</v>
      </c>
      <c r="L141" s="125">
        <v>18351</v>
      </c>
      <c r="M141" s="125">
        <v>20391</v>
      </c>
      <c r="N141" s="125">
        <v>20918</v>
      </c>
      <c r="O141" s="125">
        <v>13725</v>
      </c>
      <c r="P141" s="125">
        <v>13055</v>
      </c>
      <c r="Q141" s="125">
        <v>11221</v>
      </c>
      <c r="R141" s="125">
        <v>10770</v>
      </c>
      <c r="S141" s="125">
        <v>16342</v>
      </c>
      <c r="T141" s="125">
        <v>16358</v>
      </c>
      <c r="U141" s="125">
        <v>5290</v>
      </c>
      <c r="V141" s="125">
        <v>5463</v>
      </c>
      <c r="W141" s="125">
        <v>8183</v>
      </c>
      <c r="X141" s="125">
        <v>6553</v>
      </c>
      <c r="Y141" s="125">
        <v>87202</v>
      </c>
      <c r="Z141" s="125">
        <v>86819</v>
      </c>
    </row>
    <row r="142" spans="2:35" x14ac:dyDescent="0.2">
      <c r="B142" s="125" t="s">
        <v>445</v>
      </c>
      <c r="C142" s="125">
        <f t="shared" si="8"/>
        <v>1749.7142857142858</v>
      </c>
      <c r="D142" s="125">
        <f t="shared" si="8"/>
        <v>1890.1428571428571</v>
      </c>
      <c r="E142" s="125">
        <f t="shared" si="9"/>
        <v>2278133.7600000002</v>
      </c>
      <c r="F142" s="125">
        <f t="shared" si="10"/>
        <v>4250842.5</v>
      </c>
      <c r="G142" s="125">
        <f t="shared" si="11"/>
        <v>19548000</v>
      </c>
      <c r="H142" s="125">
        <v>44</v>
      </c>
      <c r="I142" s="125">
        <v>19462</v>
      </c>
      <c r="J142" s="125">
        <v>42</v>
      </c>
      <c r="K142" s="125">
        <v>2460</v>
      </c>
      <c r="L142" s="125">
        <v>2587</v>
      </c>
      <c r="M142" s="125">
        <v>1817</v>
      </c>
      <c r="N142" s="125">
        <v>1606</v>
      </c>
      <c r="O142" s="125">
        <v>2044</v>
      </c>
      <c r="P142" s="125">
        <v>3047</v>
      </c>
      <c r="Q142" s="125">
        <v>561</v>
      </c>
      <c r="R142" s="125">
        <v>623</v>
      </c>
      <c r="S142" s="125">
        <v>1406</v>
      </c>
      <c r="T142" s="125">
        <v>1340</v>
      </c>
      <c r="U142" s="125">
        <v>1544</v>
      </c>
      <c r="V142" s="125">
        <v>1613</v>
      </c>
      <c r="W142" s="125">
        <v>2416</v>
      </c>
      <c r="X142" s="125">
        <v>2415</v>
      </c>
      <c r="Y142" s="125">
        <v>15713</v>
      </c>
      <c r="Z142" s="125">
        <v>15891</v>
      </c>
    </row>
    <row r="143" spans="2:35" x14ac:dyDescent="0.2">
      <c r="B143" s="125" t="s">
        <v>320</v>
      </c>
      <c r="C143" s="125">
        <f t="shared" si="8"/>
        <v>9458.7142857142862</v>
      </c>
      <c r="D143" s="125">
        <f t="shared" si="8"/>
        <v>11081</v>
      </c>
      <c r="E143" s="125">
        <f t="shared" si="9"/>
        <v>3311902.7200000002</v>
      </c>
      <c r="F143" s="125">
        <f t="shared" si="10"/>
        <v>6179785</v>
      </c>
      <c r="G143" s="125">
        <f t="shared" si="11"/>
        <v>51795000</v>
      </c>
      <c r="H143" s="125">
        <v>0</v>
      </c>
      <c r="I143" s="125">
        <v>51438</v>
      </c>
      <c r="J143" s="125">
        <v>357</v>
      </c>
      <c r="K143" s="125">
        <v>9671</v>
      </c>
      <c r="L143" s="125">
        <v>22046</v>
      </c>
      <c r="M143" s="125">
        <v>15452</v>
      </c>
      <c r="N143" s="125">
        <v>14616</v>
      </c>
      <c r="O143" s="125">
        <v>11017</v>
      </c>
      <c r="P143" s="125">
        <v>15860</v>
      </c>
      <c r="Q143" s="125">
        <v>2958</v>
      </c>
      <c r="R143" s="125">
        <v>4384</v>
      </c>
      <c r="S143" s="125">
        <v>5100</v>
      </c>
      <c r="T143" s="125">
        <v>5471</v>
      </c>
      <c r="U143" s="125">
        <v>10731</v>
      </c>
      <c r="V143" s="125">
        <v>10400</v>
      </c>
      <c r="W143" s="125">
        <v>11282</v>
      </c>
      <c r="X143" s="125">
        <v>4790</v>
      </c>
      <c r="Y143" s="125">
        <v>22851</v>
      </c>
      <c r="Z143" s="125">
        <v>23102</v>
      </c>
    </row>
    <row r="144" spans="2:35" x14ac:dyDescent="0.2">
      <c r="B144" s="125" t="s">
        <v>207</v>
      </c>
      <c r="C144" s="125">
        <f t="shared" si="8"/>
        <v>4552</v>
      </c>
      <c r="D144" s="125">
        <f t="shared" si="8"/>
        <v>4986.2857142857147</v>
      </c>
      <c r="E144" s="125">
        <f t="shared" si="9"/>
        <v>5133434.8800000008</v>
      </c>
      <c r="F144" s="125">
        <f t="shared" si="10"/>
        <v>9578640</v>
      </c>
      <c r="G144" s="125">
        <f t="shared" si="11"/>
        <v>126891000</v>
      </c>
      <c r="H144" s="125">
        <v>658</v>
      </c>
      <c r="I144" s="125">
        <v>126059</v>
      </c>
      <c r="J144" s="125">
        <v>174</v>
      </c>
      <c r="K144" s="125">
        <v>10926</v>
      </c>
      <c r="L144" s="125">
        <v>7556</v>
      </c>
      <c r="M144" s="125">
        <v>5388</v>
      </c>
      <c r="N144" s="125">
        <v>9182</v>
      </c>
      <c r="O144" s="125">
        <v>3312</v>
      </c>
      <c r="P144" s="125">
        <v>4274</v>
      </c>
      <c r="Q144" s="125">
        <v>1682</v>
      </c>
      <c r="R144" s="125">
        <v>2478</v>
      </c>
      <c r="S144" s="125">
        <v>5217</v>
      </c>
      <c r="T144" s="125">
        <v>5939</v>
      </c>
      <c r="U144" s="125">
        <v>1477</v>
      </c>
      <c r="V144" s="125">
        <v>1957</v>
      </c>
      <c r="W144" s="125">
        <v>3862</v>
      </c>
      <c r="X144" s="125">
        <v>3518</v>
      </c>
      <c r="Y144" s="125">
        <v>35774</v>
      </c>
      <c r="Z144" s="125">
        <v>35808</v>
      </c>
    </row>
    <row r="145" spans="2:26" x14ac:dyDescent="0.2">
      <c r="B145" s="125" t="s">
        <v>362</v>
      </c>
      <c r="C145" s="125">
        <f t="shared" si="8"/>
        <v>8634.2857142857138</v>
      </c>
      <c r="D145" s="125">
        <f t="shared" si="8"/>
        <v>9320.5714285714294</v>
      </c>
      <c r="E145" s="125">
        <f t="shared" si="9"/>
        <v>5558353.9200000009</v>
      </c>
      <c r="F145" s="125">
        <f t="shared" si="10"/>
        <v>10371510</v>
      </c>
      <c r="G145" s="125">
        <f t="shared" si="11"/>
        <v>101280000</v>
      </c>
      <c r="H145" s="125">
        <v>6194</v>
      </c>
      <c r="I145" s="125">
        <v>92188</v>
      </c>
      <c r="J145" s="125">
        <v>2898</v>
      </c>
      <c r="K145" s="125">
        <v>10111</v>
      </c>
      <c r="L145" s="125">
        <v>10853</v>
      </c>
      <c r="M145" s="125">
        <v>8157</v>
      </c>
      <c r="N145" s="125">
        <v>12146</v>
      </c>
      <c r="O145" s="125">
        <v>14516</v>
      </c>
      <c r="P145" s="125">
        <v>15154</v>
      </c>
      <c r="Q145" s="125">
        <v>6625</v>
      </c>
      <c r="R145" s="125">
        <v>7257</v>
      </c>
      <c r="S145" s="125">
        <v>5938</v>
      </c>
      <c r="T145" s="125">
        <v>8627</v>
      </c>
      <c r="U145" s="125">
        <v>9095</v>
      </c>
      <c r="V145" s="125">
        <v>5214</v>
      </c>
      <c r="W145" s="125">
        <v>5998</v>
      </c>
      <c r="X145" s="125">
        <v>5993</v>
      </c>
      <c r="Y145" s="125">
        <v>38721</v>
      </c>
      <c r="Z145" s="125">
        <v>38772</v>
      </c>
    </row>
    <row r="146" spans="2:26" x14ac:dyDescent="0.2">
      <c r="B146" s="125" t="s">
        <v>446</v>
      </c>
      <c r="C146" s="125">
        <f t="shared" si="8"/>
        <v>37854</v>
      </c>
      <c r="D146" s="125">
        <f t="shared" si="8"/>
        <v>39421.857142857145</v>
      </c>
      <c r="E146" s="125">
        <f t="shared" si="9"/>
        <v>13027409.920000002</v>
      </c>
      <c r="F146" s="125">
        <f t="shared" si="10"/>
        <v>24308260</v>
      </c>
      <c r="G146" s="125">
        <f t="shared" si="11"/>
        <v>232082000</v>
      </c>
      <c r="H146" s="125">
        <v>278</v>
      </c>
      <c r="I146" s="125">
        <v>231529</v>
      </c>
      <c r="J146" s="125">
        <v>275</v>
      </c>
      <c r="K146" s="125">
        <v>54447</v>
      </c>
      <c r="L146" s="125">
        <v>60661</v>
      </c>
      <c r="M146" s="125">
        <v>31481</v>
      </c>
      <c r="N146" s="125">
        <v>37568</v>
      </c>
      <c r="O146" s="125">
        <v>30602</v>
      </c>
      <c r="P146" s="125">
        <v>47857</v>
      </c>
      <c r="Q146" s="125">
        <v>29241</v>
      </c>
      <c r="R146" s="125">
        <v>45677</v>
      </c>
      <c r="S146" s="125">
        <v>18101</v>
      </c>
      <c r="T146" s="125">
        <v>22447</v>
      </c>
      <c r="U146" s="125">
        <v>74398</v>
      </c>
      <c r="V146" s="125">
        <v>45298</v>
      </c>
      <c r="W146" s="125">
        <v>26708</v>
      </c>
      <c r="X146" s="125">
        <v>16445</v>
      </c>
      <c r="Y146" s="125">
        <v>90619</v>
      </c>
      <c r="Z146" s="125">
        <v>90872</v>
      </c>
    </row>
    <row r="147" spans="2:26" x14ac:dyDescent="0.2">
      <c r="B147" s="125" t="s">
        <v>363</v>
      </c>
      <c r="C147" s="125">
        <f t="shared" si="8"/>
        <v>14914.857142857143</v>
      </c>
      <c r="D147" s="125">
        <f t="shared" si="8"/>
        <v>13929.142857142857</v>
      </c>
      <c r="E147" s="125">
        <f t="shared" si="9"/>
        <v>4398428.1600000001</v>
      </c>
      <c r="F147" s="125">
        <f t="shared" si="10"/>
        <v>8207167.5</v>
      </c>
      <c r="G147" s="125">
        <f t="shared" si="11"/>
        <v>66492000</v>
      </c>
      <c r="H147" s="125">
        <v>4183</v>
      </c>
      <c r="I147" s="125">
        <v>61646</v>
      </c>
      <c r="J147" s="125">
        <v>663</v>
      </c>
      <c r="K147" s="125">
        <v>21686</v>
      </c>
      <c r="L147" s="125">
        <v>12861</v>
      </c>
      <c r="M147" s="125">
        <v>12592</v>
      </c>
      <c r="N147" s="125">
        <v>16743</v>
      </c>
      <c r="O147" s="125">
        <v>10373</v>
      </c>
      <c r="P147" s="125">
        <v>12823</v>
      </c>
      <c r="Q147" s="125">
        <v>12361</v>
      </c>
      <c r="R147" s="125">
        <v>13695</v>
      </c>
      <c r="S147" s="125">
        <v>11118</v>
      </c>
      <c r="T147" s="125">
        <v>9133</v>
      </c>
      <c r="U147" s="125">
        <v>17477</v>
      </c>
      <c r="V147" s="125">
        <v>15333</v>
      </c>
      <c r="W147" s="125">
        <v>18797</v>
      </c>
      <c r="X147" s="125">
        <v>16916</v>
      </c>
      <c r="Y147" s="125">
        <v>29724</v>
      </c>
      <c r="Z147" s="125">
        <v>30681</v>
      </c>
    </row>
    <row r="148" spans="2:26" x14ac:dyDescent="0.2">
      <c r="B148" s="125" t="s">
        <v>529</v>
      </c>
      <c r="C148" s="125">
        <f t="shared" si="8"/>
        <v>44286.857142857145</v>
      </c>
      <c r="D148" s="125">
        <f t="shared" si="8"/>
        <v>49636.571428571428</v>
      </c>
      <c r="E148" s="125">
        <f t="shared" si="9"/>
        <v>11555962.880000001</v>
      </c>
      <c r="F148" s="125">
        <f t="shared" si="10"/>
        <v>21562640</v>
      </c>
      <c r="G148" s="125">
        <f t="shared" si="11"/>
        <v>207483000</v>
      </c>
      <c r="H148" s="125">
        <v>3138</v>
      </c>
      <c r="I148" s="125">
        <v>203576</v>
      </c>
      <c r="J148" s="125">
        <v>769</v>
      </c>
      <c r="K148" s="125">
        <v>47198</v>
      </c>
      <c r="L148" s="125">
        <v>55122</v>
      </c>
      <c r="M148" s="125">
        <v>37579</v>
      </c>
      <c r="N148" s="125">
        <v>42223</v>
      </c>
      <c r="O148" s="125">
        <v>65671</v>
      </c>
      <c r="P148" s="125">
        <v>69364</v>
      </c>
      <c r="Q148" s="125">
        <v>43549</v>
      </c>
      <c r="R148" s="125">
        <v>52858</v>
      </c>
      <c r="S148" s="125">
        <v>40101</v>
      </c>
      <c r="T148" s="125">
        <v>46383</v>
      </c>
      <c r="U148" s="125">
        <v>37778</v>
      </c>
      <c r="V148" s="125">
        <v>40893</v>
      </c>
      <c r="W148" s="125">
        <v>38132</v>
      </c>
      <c r="X148" s="125">
        <v>40613</v>
      </c>
      <c r="Y148" s="125">
        <v>80813</v>
      </c>
      <c r="Z148" s="125">
        <v>80608</v>
      </c>
    </row>
    <row r="149" spans="2:26" x14ac:dyDescent="0.2">
      <c r="B149" s="125" t="s">
        <v>245</v>
      </c>
      <c r="C149" s="125">
        <f t="shared" si="8"/>
        <v>1802.7142857142858</v>
      </c>
      <c r="D149" s="125">
        <f t="shared" si="8"/>
        <v>2364.8571428571427</v>
      </c>
      <c r="E149" s="125">
        <f t="shared" si="9"/>
        <v>2358558.7200000002</v>
      </c>
      <c r="F149" s="125">
        <f t="shared" si="10"/>
        <v>4400910</v>
      </c>
      <c r="G149" s="125">
        <f t="shared" si="11"/>
        <v>9926000</v>
      </c>
      <c r="H149" s="125">
        <v>0</v>
      </c>
      <c r="I149" s="125">
        <v>9460</v>
      </c>
      <c r="J149" s="125">
        <v>466</v>
      </c>
      <c r="K149" s="125">
        <v>1632</v>
      </c>
      <c r="L149" s="125">
        <v>2282</v>
      </c>
      <c r="M149" s="125">
        <v>4112</v>
      </c>
      <c r="N149" s="125">
        <v>3906</v>
      </c>
      <c r="O149" s="125">
        <v>2022</v>
      </c>
      <c r="P149" s="125">
        <v>4239</v>
      </c>
      <c r="Q149" s="125">
        <v>1892</v>
      </c>
      <c r="R149" s="125">
        <v>1997</v>
      </c>
      <c r="S149" s="125">
        <v>1223</v>
      </c>
      <c r="T149" s="125">
        <v>2563</v>
      </c>
      <c r="U149" s="125">
        <v>674</v>
      </c>
      <c r="V149" s="125">
        <v>514</v>
      </c>
      <c r="W149" s="125">
        <v>1064</v>
      </c>
      <c r="X149" s="125">
        <v>1053</v>
      </c>
      <c r="Y149" s="125">
        <v>16468</v>
      </c>
      <c r="Z149" s="125">
        <v>16452</v>
      </c>
    </row>
    <row r="150" spans="2:26" x14ac:dyDescent="0.2">
      <c r="B150" s="125" t="s">
        <v>447</v>
      </c>
      <c r="C150" s="125">
        <f t="shared" si="8"/>
        <v>12014.525</v>
      </c>
      <c r="D150" s="125">
        <f t="shared" si="8"/>
        <v>14669.812571428571</v>
      </c>
      <c r="E150" s="125">
        <f t="shared" si="9"/>
        <v>6271569.9200000009</v>
      </c>
      <c r="F150" s="125">
        <f t="shared" si="10"/>
        <v>11702322.5</v>
      </c>
      <c r="G150" s="125">
        <f t="shared" si="11"/>
        <v>76195000</v>
      </c>
      <c r="H150" s="125">
        <v>0</v>
      </c>
      <c r="I150" s="125">
        <v>75702</v>
      </c>
      <c r="J150" s="125">
        <v>493</v>
      </c>
      <c r="K150" s="125">
        <v>10156</v>
      </c>
      <c r="L150" s="125">
        <v>2000</v>
      </c>
      <c r="M150" s="125">
        <v>5867</v>
      </c>
      <c r="N150" s="125">
        <v>9512</v>
      </c>
      <c r="O150" s="125">
        <v>4646</v>
      </c>
      <c r="P150" s="125">
        <v>13692</v>
      </c>
      <c r="Q150" s="125">
        <v>10604</v>
      </c>
      <c r="R150" s="125">
        <v>24849</v>
      </c>
      <c r="S150" s="125">
        <v>19634</v>
      </c>
      <c r="T150" s="125">
        <v>23900</v>
      </c>
      <c r="U150" s="125">
        <v>8496.6749999999993</v>
      </c>
      <c r="V150" s="125">
        <v>8218.6880000000001</v>
      </c>
      <c r="W150" s="125">
        <v>24698</v>
      </c>
      <c r="X150" s="125">
        <v>20517</v>
      </c>
      <c r="Y150" s="125">
        <v>43516</v>
      </c>
      <c r="Z150" s="125">
        <v>43747</v>
      </c>
    </row>
    <row r="151" spans="2:26" x14ac:dyDescent="0.2">
      <c r="B151" s="125" t="s">
        <v>364</v>
      </c>
      <c r="C151" s="125">
        <f t="shared" si="8"/>
        <v>2309.7142857142858</v>
      </c>
      <c r="D151" s="125">
        <f t="shared" si="8"/>
        <v>1865.2857142857142</v>
      </c>
      <c r="E151" s="125">
        <f t="shared" si="9"/>
        <v>3128258.5600000005</v>
      </c>
      <c r="F151" s="125">
        <f t="shared" si="10"/>
        <v>5837117.5</v>
      </c>
      <c r="G151" s="125">
        <f t="shared" si="11"/>
        <v>47941000</v>
      </c>
      <c r="H151" s="125">
        <v>1214</v>
      </c>
      <c r="I151" s="125">
        <v>46727</v>
      </c>
      <c r="J151" s="125">
        <v>0</v>
      </c>
      <c r="K151" s="125">
        <v>3026</v>
      </c>
      <c r="L151" s="125">
        <v>3155</v>
      </c>
      <c r="M151" s="125">
        <v>4490</v>
      </c>
      <c r="N151" s="125">
        <v>4806</v>
      </c>
      <c r="O151" s="125">
        <v>2493</v>
      </c>
      <c r="P151" s="125">
        <v>1194</v>
      </c>
      <c r="Q151" s="125">
        <v>2120</v>
      </c>
      <c r="R151" s="125">
        <v>557</v>
      </c>
      <c r="S151" s="125">
        <v>1753</v>
      </c>
      <c r="T151" s="125">
        <v>922</v>
      </c>
      <c r="U151" s="125">
        <v>30</v>
      </c>
      <c r="V151" s="125">
        <v>106</v>
      </c>
      <c r="W151" s="125">
        <v>2256</v>
      </c>
      <c r="X151" s="125">
        <v>2317</v>
      </c>
      <c r="Y151" s="125">
        <v>21313</v>
      </c>
      <c r="Z151" s="125">
        <v>21821</v>
      </c>
    </row>
    <row r="152" spans="2:26" x14ac:dyDescent="0.2">
      <c r="B152" s="125" t="s">
        <v>448</v>
      </c>
      <c r="C152" s="125">
        <f t="shared" si="8"/>
        <v>3700.8571428571427</v>
      </c>
      <c r="D152" s="125">
        <f t="shared" si="8"/>
        <v>2986.4285714285716</v>
      </c>
      <c r="E152" s="125">
        <f t="shared" si="9"/>
        <v>2202869.7600000002</v>
      </c>
      <c r="F152" s="125">
        <f t="shared" si="10"/>
        <v>4110405</v>
      </c>
      <c r="G152" s="125">
        <f t="shared" si="11"/>
        <v>24913000</v>
      </c>
      <c r="H152" s="125">
        <v>103</v>
      </c>
      <c r="I152" s="125">
        <v>24623</v>
      </c>
      <c r="J152" s="125">
        <v>187</v>
      </c>
      <c r="K152" s="125">
        <v>2989</v>
      </c>
      <c r="L152" s="125">
        <v>2783</v>
      </c>
      <c r="M152" s="125">
        <v>6757</v>
      </c>
      <c r="N152" s="125">
        <v>4979</v>
      </c>
      <c r="O152" s="125">
        <v>1711</v>
      </c>
      <c r="P152" s="125">
        <v>1479</v>
      </c>
      <c r="Q152" s="125">
        <v>4461</v>
      </c>
      <c r="R152" s="125">
        <v>3667</v>
      </c>
      <c r="S152" s="125">
        <v>3036</v>
      </c>
      <c r="T152" s="125">
        <v>2807</v>
      </c>
      <c r="U152" s="125">
        <v>4435</v>
      </c>
      <c r="V152" s="125">
        <v>2740</v>
      </c>
      <c r="W152" s="125">
        <v>2517</v>
      </c>
      <c r="X152" s="125">
        <v>2450</v>
      </c>
      <c r="Y152" s="125">
        <v>15282</v>
      </c>
      <c r="Z152" s="125">
        <v>15366</v>
      </c>
    </row>
    <row r="153" spans="2:26" x14ac:dyDescent="0.2">
      <c r="B153" s="125" t="s">
        <v>321</v>
      </c>
      <c r="C153" s="125">
        <f t="shared" si="8"/>
        <v>23378.142857142859</v>
      </c>
      <c r="D153" s="125">
        <f t="shared" si="8"/>
        <v>23806.285714285714</v>
      </c>
      <c r="E153" s="125">
        <f t="shared" si="9"/>
        <v>12838174.720000001</v>
      </c>
      <c r="F153" s="125">
        <f t="shared" si="10"/>
        <v>23955160</v>
      </c>
      <c r="G153" s="125">
        <f t="shared" si="11"/>
        <v>291532000</v>
      </c>
      <c r="H153" s="125">
        <v>1907</v>
      </c>
      <c r="I153" s="125">
        <v>289625</v>
      </c>
      <c r="J153" s="125">
        <v>0</v>
      </c>
      <c r="K153" s="125">
        <v>11263</v>
      </c>
      <c r="L153" s="125">
        <v>18872</v>
      </c>
      <c r="M153" s="125">
        <v>14634</v>
      </c>
      <c r="N153" s="125">
        <v>16857</v>
      </c>
      <c r="O153" s="125">
        <v>55584</v>
      </c>
      <c r="P153" s="125">
        <v>53490</v>
      </c>
      <c r="Q153" s="125">
        <v>20051</v>
      </c>
      <c r="R153" s="125">
        <v>19564</v>
      </c>
      <c r="S153" s="125">
        <v>20010</v>
      </c>
      <c r="T153" s="125">
        <v>19441</v>
      </c>
      <c r="U153" s="125">
        <v>23379</v>
      </c>
      <c r="V153" s="125">
        <v>17601</v>
      </c>
      <c r="W153" s="125">
        <v>18726</v>
      </c>
      <c r="X153" s="125">
        <v>20819</v>
      </c>
      <c r="Y153" s="125">
        <v>88915</v>
      </c>
      <c r="Z153" s="125">
        <v>89552</v>
      </c>
    </row>
    <row r="154" spans="2:26" x14ac:dyDescent="0.2">
      <c r="B154" s="125" t="s">
        <v>208</v>
      </c>
      <c r="C154" s="125">
        <f t="shared" si="8"/>
        <v>3475.1428571428573</v>
      </c>
      <c r="D154" s="125">
        <f t="shared" si="8"/>
        <v>3782</v>
      </c>
      <c r="E154" s="125">
        <f t="shared" si="9"/>
        <v>5008138.2400000002</v>
      </c>
      <c r="F154" s="125">
        <f t="shared" si="10"/>
        <v>9344845</v>
      </c>
      <c r="G154" s="125">
        <f t="shared" si="11"/>
        <v>105683000</v>
      </c>
      <c r="H154" s="125">
        <v>14190</v>
      </c>
      <c r="I154" s="125">
        <v>89957</v>
      </c>
      <c r="J154" s="125">
        <v>1536</v>
      </c>
      <c r="K154" s="125">
        <v>5468</v>
      </c>
      <c r="L154" s="125">
        <v>4469</v>
      </c>
      <c r="M154" s="125">
        <v>5846</v>
      </c>
      <c r="N154" s="125">
        <v>8523</v>
      </c>
      <c r="O154" s="125">
        <v>5939</v>
      </c>
      <c r="P154" s="125">
        <v>6186</v>
      </c>
      <c r="Q154" s="125">
        <v>1226</v>
      </c>
      <c r="R154" s="125">
        <v>1419</v>
      </c>
      <c r="S154" s="125">
        <v>1252</v>
      </c>
      <c r="T154" s="125">
        <v>1383</v>
      </c>
      <c r="U154" s="125">
        <v>2697</v>
      </c>
      <c r="V154" s="125">
        <v>2913</v>
      </c>
      <c r="W154" s="125">
        <v>1898</v>
      </c>
      <c r="X154" s="125">
        <v>1581</v>
      </c>
      <c r="Y154" s="125">
        <v>35008</v>
      </c>
      <c r="Z154" s="125">
        <v>34934</v>
      </c>
    </row>
    <row r="155" spans="2:26" x14ac:dyDescent="0.2">
      <c r="B155" s="125" t="s">
        <v>322</v>
      </c>
      <c r="C155" s="125">
        <f t="shared" si="8"/>
        <v>2799.2857142857142</v>
      </c>
      <c r="D155" s="125">
        <f t="shared" si="8"/>
        <v>3792.8571428571427</v>
      </c>
      <c r="E155" s="125">
        <f t="shared" si="9"/>
        <v>6836264.9600000009</v>
      </c>
      <c r="F155" s="125">
        <f t="shared" si="10"/>
        <v>12756005</v>
      </c>
      <c r="G155" s="125">
        <f t="shared" si="11"/>
        <v>88093000</v>
      </c>
      <c r="H155" s="125">
        <v>25</v>
      </c>
      <c r="I155" s="125">
        <v>87784</v>
      </c>
      <c r="J155" s="125">
        <v>284</v>
      </c>
      <c r="K155" s="125">
        <v>3325</v>
      </c>
      <c r="L155" s="125">
        <v>3480</v>
      </c>
      <c r="M155" s="125">
        <v>5599</v>
      </c>
      <c r="N155" s="125">
        <v>10908</v>
      </c>
      <c r="O155" s="125">
        <v>1866</v>
      </c>
      <c r="P155" s="125">
        <v>4453</v>
      </c>
      <c r="Q155" s="125">
        <v>4259</v>
      </c>
      <c r="R155" s="125">
        <v>3644</v>
      </c>
      <c r="S155" s="125">
        <v>1919</v>
      </c>
      <c r="T155" s="125">
        <v>2714</v>
      </c>
      <c r="U155" s="125">
        <v>1249</v>
      </c>
      <c r="V155" s="125">
        <v>213</v>
      </c>
      <c r="W155" s="125">
        <v>1378</v>
      </c>
      <c r="X155" s="125">
        <v>1138</v>
      </c>
      <c r="Y155" s="125">
        <v>47595</v>
      </c>
      <c r="Z155" s="125">
        <v>47686</v>
      </c>
    </row>
    <row r="156" spans="2:26" x14ac:dyDescent="0.2">
      <c r="B156" s="125" t="s">
        <v>148</v>
      </c>
      <c r="C156" s="125">
        <f t="shared" si="8"/>
        <v>10828.857142857143</v>
      </c>
      <c r="D156" s="125">
        <f t="shared" si="8"/>
        <v>13590.142857142857</v>
      </c>
      <c r="E156" s="125">
        <f t="shared" si="9"/>
        <v>7983001.6000000006</v>
      </c>
      <c r="F156" s="125">
        <f t="shared" si="10"/>
        <v>14895737.5</v>
      </c>
      <c r="G156" s="125">
        <f t="shared" si="11"/>
        <v>109505000</v>
      </c>
      <c r="H156" s="125">
        <v>5028</v>
      </c>
      <c r="I156" s="125">
        <v>103081</v>
      </c>
      <c r="J156" s="125">
        <v>1396</v>
      </c>
      <c r="K156" s="125">
        <v>13439</v>
      </c>
      <c r="L156" s="125">
        <v>21562</v>
      </c>
      <c r="M156" s="125">
        <v>10279</v>
      </c>
      <c r="N156" s="125">
        <v>11516</v>
      </c>
      <c r="O156" s="125">
        <v>6892</v>
      </c>
      <c r="P156" s="125">
        <v>8822</v>
      </c>
      <c r="Q156" s="125">
        <v>13050</v>
      </c>
      <c r="R156" s="125">
        <v>13735</v>
      </c>
      <c r="S156" s="125">
        <v>10338</v>
      </c>
      <c r="T156" s="125">
        <v>8708</v>
      </c>
      <c r="U156" s="125">
        <v>6094</v>
      </c>
      <c r="V156" s="125">
        <v>3553</v>
      </c>
      <c r="W156" s="125">
        <v>15710</v>
      </c>
      <c r="X156" s="125">
        <v>27235</v>
      </c>
      <c r="Y156" s="125">
        <v>55320</v>
      </c>
      <c r="Z156" s="125">
        <v>55685</v>
      </c>
    </row>
    <row r="157" spans="2:26" x14ac:dyDescent="0.2">
      <c r="B157" s="125" t="s">
        <v>323</v>
      </c>
      <c r="C157" s="125">
        <f t="shared" si="8"/>
        <v>12126.428571428571</v>
      </c>
      <c r="D157" s="125">
        <f t="shared" si="8"/>
        <v>13466.714285714286</v>
      </c>
      <c r="E157" s="125">
        <f t="shared" si="9"/>
        <v>10437754.880000001</v>
      </c>
      <c r="F157" s="125">
        <f t="shared" si="10"/>
        <v>19476140</v>
      </c>
      <c r="G157" s="125">
        <f t="shared" si="11"/>
        <v>179307000</v>
      </c>
      <c r="H157" s="125">
        <v>1449</v>
      </c>
      <c r="I157" s="125">
        <v>177588</v>
      </c>
      <c r="J157" s="125">
        <v>270</v>
      </c>
      <c r="K157" s="125">
        <v>9104</v>
      </c>
      <c r="L157" s="125">
        <v>8799</v>
      </c>
      <c r="M157" s="125">
        <v>11033</v>
      </c>
      <c r="N157" s="125">
        <v>16329</v>
      </c>
      <c r="O157" s="125">
        <v>21490</v>
      </c>
      <c r="P157" s="125">
        <v>28278</v>
      </c>
      <c r="Q157" s="125">
        <v>16972</v>
      </c>
      <c r="R157" s="125">
        <v>17947</v>
      </c>
      <c r="S157" s="125">
        <v>15307</v>
      </c>
      <c r="T157" s="125">
        <v>14289</v>
      </c>
      <c r="U157" s="125">
        <v>6331</v>
      </c>
      <c r="V157" s="125">
        <v>4707</v>
      </c>
      <c r="W157" s="125">
        <v>4648</v>
      </c>
      <c r="X157" s="125">
        <v>3918</v>
      </c>
      <c r="Y157" s="125">
        <v>72519</v>
      </c>
      <c r="Z157" s="125">
        <v>72808</v>
      </c>
    </row>
    <row r="158" spans="2:26" x14ac:dyDescent="0.2">
      <c r="B158" s="125" t="s">
        <v>487</v>
      </c>
      <c r="C158" s="125">
        <f t="shared" si="8"/>
        <v>9339.4285714285706</v>
      </c>
      <c r="D158" s="125">
        <f t="shared" si="8"/>
        <v>10214.285714285714</v>
      </c>
      <c r="E158" s="125">
        <f t="shared" si="9"/>
        <v>6059253.7600000007</v>
      </c>
      <c r="F158" s="125">
        <f t="shared" si="10"/>
        <v>11306155</v>
      </c>
      <c r="G158" s="125">
        <f t="shared" si="11"/>
        <v>96411000</v>
      </c>
      <c r="H158" s="125">
        <v>7147</v>
      </c>
      <c r="I158" s="125">
        <v>87315</v>
      </c>
      <c r="J158" s="125">
        <v>1949</v>
      </c>
      <c r="K158" s="125">
        <v>6567</v>
      </c>
      <c r="L158" s="125">
        <v>7094</v>
      </c>
      <c r="M158" s="125">
        <v>10039</v>
      </c>
      <c r="N158" s="125">
        <v>11326</v>
      </c>
      <c r="O158" s="125">
        <v>9784</v>
      </c>
      <c r="P158" s="125">
        <v>12703</v>
      </c>
      <c r="Q158" s="125">
        <v>10111</v>
      </c>
      <c r="R158" s="125">
        <v>9124</v>
      </c>
      <c r="S158" s="125">
        <v>9237</v>
      </c>
      <c r="T158" s="125">
        <v>9718</v>
      </c>
      <c r="U158" s="125">
        <v>7230</v>
      </c>
      <c r="V158" s="125">
        <v>8186</v>
      </c>
      <c r="W158" s="125">
        <v>12408</v>
      </c>
      <c r="X158" s="125">
        <v>13349</v>
      </c>
      <c r="Y158" s="125">
        <v>42135</v>
      </c>
      <c r="Z158" s="125">
        <v>42266</v>
      </c>
    </row>
    <row r="159" spans="2:26" x14ac:dyDescent="0.2">
      <c r="B159" s="125" t="s">
        <v>283</v>
      </c>
      <c r="C159" s="125">
        <f t="shared" si="8"/>
        <v>22146.714285714286</v>
      </c>
      <c r="D159" s="125">
        <f t="shared" si="8"/>
        <v>22171</v>
      </c>
      <c r="E159" s="125">
        <f t="shared" si="9"/>
        <v>7108648.9600000009</v>
      </c>
      <c r="F159" s="125">
        <f t="shared" si="10"/>
        <v>13264255</v>
      </c>
      <c r="G159" s="125">
        <f t="shared" si="11"/>
        <v>128310000</v>
      </c>
      <c r="H159" s="125">
        <v>20</v>
      </c>
      <c r="I159" s="125">
        <v>128272</v>
      </c>
      <c r="J159" s="125">
        <v>18</v>
      </c>
      <c r="K159" s="125">
        <v>28340</v>
      </c>
      <c r="L159" s="125">
        <v>28308</v>
      </c>
      <c r="M159" s="125">
        <v>11066</v>
      </c>
      <c r="N159" s="125">
        <v>11135</v>
      </c>
      <c r="O159" s="125">
        <v>26183</v>
      </c>
      <c r="P159" s="125">
        <v>26177</v>
      </c>
      <c r="Q159" s="125">
        <v>34434</v>
      </c>
      <c r="R159" s="125">
        <v>34429</v>
      </c>
      <c r="S159" s="125">
        <v>20518</v>
      </c>
      <c r="T159" s="125">
        <v>20509</v>
      </c>
      <c r="U159" s="125">
        <v>20067</v>
      </c>
      <c r="V159" s="125">
        <v>20073</v>
      </c>
      <c r="W159" s="125">
        <v>14419</v>
      </c>
      <c r="X159" s="125">
        <v>14566</v>
      </c>
      <c r="Y159" s="125">
        <v>49294</v>
      </c>
      <c r="Z159" s="125">
        <v>49586</v>
      </c>
    </row>
    <row r="160" spans="2:26" x14ac:dyDescent="0.2">
      <c r="B160" s="125" t="s">
        <v>324</v>
      </c>
      <c r="C160" s="125">
        <f t="shared" si="8"/>
        <v>2652.7142857142858</v>
      </c>
      <c r="D160" s="125">
        <f t="shared" si="8"/>
        <v>2000.4285714285713</v>
      </c>
      <c r="E160" s="125">
        <f t="shared" si="9"/>
        <v>5929943.040000001</v>
      </c>
      <c r="F160" s="125">
        <f t="shared" si="10"/>
        <v>11064870</v>
      </c>
      <c r="G160" s="125">
        <f t="shared" si="11"/>
        <v>60922000</v>
      </c>
      <c r="H160" s="125">
        <v>351</v>
      </c>
      <c r="I160" s="125">
        <v>60356</v>
      </c>
      <c r="J160" s="125">
        <v>215</v>
      </c>
      <c r="K160" s="125">
        <v>3305</v>
      </c>
      <c r="L160" s="125">
        <v>2670</v>
      </c>
      <c r="M160" s="125">
        <v>1726</v>
      </c>
      <c r="N160" s="125">
        <v>1427</v>
      </c>
      <c r="O160" s="125">
        <v>2973</v>
      </c>
      <c r="P160" s="125">
        <v>2972</v>
      </c>
      <c r="Q160" s="125">
        <v>5201</v>
      </c>
      <c r="R160" s="125">
        <v>2455</v>
      </c>
      <c r="S160" s="125">
        <v>2047</v>
      </c>
      <c r="T160" s="125">
        <v>2056</v>
      </c>
      <c r="U160" s="125">
        <v>3235</v>
      </c>
      <c r="V160" s="125">
        <v>2965</v>
      </c>
      <c r="W160" s="125">
        <v>82</v>
      </c>
      <c r="X160" s="125">
        <v>-542</v>
      </c>
      <c r="Y160" s="125">
        <v>41378</v>
      </c>
      <c r="Z160" s="125">
        <v>41364</v>
      </c>
    </row>
    <row r="161" spans="2:26" x14ac:dyDescent="0.2">
      <c r="B161" s="125" t="s">
        <v>405</v>
      </c>
      <c r="C161" s="125">
        <f t="shared" si="8"/>
        <v>3217.4285714285716</v>
      </c>
      <c r="D161" s="125">
        <f t="shared" si="8"/>
        <v>3385.5714285714284</v>
      </c>
      <c r="E161" s="125">
        <f t="shared" si="9"/>
        <v>3937955.8400000003</v>
      </c>
      <c r="F161" s="125">
        <f t="shared" si="10"/>
        <v>7347957.5</v>
      </c>
      <c r="G161" s="125">
        <f t="shared" si="11"/>
        <v>58250000</v>
      </c>
      <c r="H161" s="125">
        <v>881</v>
      </c>
      <c r="I161" s="125">
        <v>56042</v>
      </c>
      <c r="J161" s="125">
        <v>1327</v>
      </c>
      <c r="K161" s="125">
        <v>5498</v>
      </c>
      <c r="L161" s="125">
        <v>4667</v>
      </c>
      <c r="M161" s="125">
        <v>8378</v>
      </c>
      <c r="N161" s="125">
        <v>7496</v>
      </c>
      <c r="O161" s="125">
        <v>4995</v>
      </c>
      <c r="P161" s="125">
        <v>3905</v>
      </c>
      <c r="Q161" s="125">
        <v>2157</v>
      </c>
      <c r="R161" s="125">
        <v>2813</v>
      </c>
      <c r="S161" s="125">
        <v>580</v>
      </c>
      <c r="T161" s="125">
        <v>795</v>
      </c>
      <c r="U161" s="125">
        <v>652</v>
      </c>
      <c r="V161" s="125">
        <v>761</v>
      </c>
      <c r="W161" s="125">
        <v>262</v>
      </c>
      <c r="X161" s="125">
        <v>3262</v>
      </c>
      <c r="Y161" s="125">
        <v>27400</v>
      </c>
      <c r="Z161" s="125">
        <v>27469</v>
      </c>
    </row>
    <row r="162" spans="2:26" x14ac:dyDescent="0.2">
      <c r="B162" s="125" t="s">
        <v>284</v>
      </c>
      <c r="C162" s="125">
        <f t="shared" si="8"/>
        <v>7948.2857142857147</v>
      </c>
      <c r="D162" s="125">
        <f t="shared" si="8"/>
        <v>6166.8571428571431</v>
      </c>
      <c r="E162" s="125">
        <f t="shared" si="9"/>
        <v>4917104.6400000006</v>
      </c>
      <c r="F162" s="125">
        <f t="shared" si="10"/>
        <v>9174982.5</v>
      </c>
      <c r="G162" s="125">
        <f t="shared" si="11"/>
        <v>60974000</v>
      </c>
      <c r="H162" s="125">
        <v>2974</v>
      </c>
      <c r="I162" s="125">
        <v>57009</v>
      </c>
      <c r="J162" s="125">
        <v>991</v>
      </c>
      <c r="K162" s="125">
        <v>13135</v>
      </c>
      <c r="L162" s="125">
        <v>10116</v>
      </c>
      <c r="M162" s="125">
        <v>8798</v>
      </c>
      <c r="N162" s="125">
        <v>2494</v>
      </c>
      <c r="O162" s="125">
        <v>7119</v>
      </c>
      <c r="P162" s="125">
        <v>6446</v>
      </c>
      <c r="Q162" s="125">
        <v>3492</v>
      </c>
      <c r="R162" s="125">
        <v>2564</v>
      </c>
      <c r="S162" s="125">
        <v>10623</v>
      </c>
      <c r="T162" s="125">
        <v>9924</v>
      </c>
      <c r="U162" s="125">
        <v>5186</v>
      </c>
      <c r="V162" s="125">
        <v>5217</v>
      </c>
      <c r="W162" s="125">
        <v>7285</v>
      </c>
      <c r="X162" s="125">
        <v>6407</v>
      </c>
      <c r="Y162" s="125">
        <v>34206</v>
      </c>
      <c r="Z162" s="125">
        <v>34299</v>
      </c>
    </row>
    <row r="163" spans="2:26" x14ac:dyDescent="0.2">
      <c r="B163" s="125" t="s">
        <v>365</v>
      </c>
      <c r="C163" s="125">
        <f t="shared" si="8"/>
        <v>12964.857142857143</v>
      </c>
      <c r="D163" s="125">
        <f t="shared" si="8"/>
        <v>19422.428571428572</v>
      </c>
      <c r="E163" s="125">
        <f t="shared" si="9"/>
        <v>3817963.5200000005</v>
      </c>
      <c r="F163" s="125">
        <f t="shared" si="10"/>
        <v>7124060</v>
      </c>
      <c r="G163" s="125">
        <f t="shared" si="11"/>
        <v>61994000</v>
      </c>
      <c r="H163" s="125">
        <v>0</v>
      </c>
      <c r="I163" s="125">
        <v>51573</v>
      </c>
      <c r="J163" s="125">
        <v>10421</v>
      </c>
      <c r="K163" s="125">
        <v>20671</v>
      </c>
      <c r="L163" s="125">
        <v>21393</v>
      </c>
      <c r="M163" s="125">
        <v>13739</v>
      </c>
      <c r="N163" s="125">
        <v>59290</v>
      </c>
      <c r="O163" s="125">
        <v>16085</v>
      </c>
      <c r="P163" s="125">
        <v>20302</v>
      </c>
      <c r="Q163" s="125">
        <v>23260</v>
      </c>
      <c r="R163" s="125">
        <v>20293</v>
      </c>
      <c r="S163" s="125">
        <v>9026</v>
      </c>
      <c r="T163" s="125">
        <v>7776</v>
      </c>
      <c r="U163" s="125">
        <v>6423</v>
      </c>
      <c r="V163" s="125">
        <v>4043</v>
      </c>
      <c r="W163" s="125">
        <v>1550</v>
      </c>
      <c r="X163" s="125">
        <v>2860</v>
      </c>
      <c r="Y163" s="125">
        <v>26377</v>
      </c>
      <c r="Z163" s="125">
        <v>26632</v>
      </c>
    </row>
    <row r="164" spans="2:26" x14ac:dyDescent="0.2">
      <c r="B164" s="125" t="s">
        <v>209</v>
      </c>
      <c r="C164" s="125">
        <f t="shared" si="8"/>
        <v>37487</v>
      </c>
      <c r="D164" s="125">
        <f t="shared" si="8"/>
        <v>41001.714285714283</v>
      </c>
      <c r="E164" s="125">
        <f t="shared" si="9"/>
        <v>7635066.8800000008</v>
      </c>
      <c r="F164" s="125">
        <f t="shared" si="10"/>
        <v>14246515</v>
      </c>
      <c r="G164" s="125">
        <f t="shared" si="11"/>
        <v>110739000</v>
      </c>
      <c r="H164" s="125">
        <v>20480</v>
      </c>
      <c r="I164" s="125">
        <v>89615</v>
      </c>
      <c r="J164" s="125">
        <v>644</v>
      </c>
      <c r="K164" s="125">
        <v>40044</v>
      </c>
      <c r="L164" s="125">
        <v>42056</v>
      </c>
      <c r="M164" s="125">
        <v>54811</v>
      </c>
      <c r="N164" s="125">
        <v>61735</v>
      </c>
      <c r="O164" s="125">
        <v>40083</v>
      </c>
      <c r="P164" s="125">
        <v>47258</v>
      </c>
      <c r="Q164" s="125">
        <v>27273</v>
      </c>
      <c r="R164" s="125">
        <v>27574</v>
      </c>
      <c r="S164" s="125">
        <v>31214</v>
      </c>
      <c r="T164" s="125">
        <v>34226</v>
      </c>
      <c r="U164" s="125">
        <v>28517</v>
      </c>
      <c r="V164" s="125">
        <v>35315</v>
      </c>
      <c r="W164" s="125">
        <v>40467</v>
      </c>
      <c r="X164" s="125">
        <v>38848</v>
      </c>
      <c r="Y164" s="125">
        <v>52514</v>
      </c>
      <c r="Z164" s="125">
        <v>53258</v>
      </c>
    </row>
    <row r="165" spans="2:26" x14ac:dyDescent="0.2">
      <c r="B165" s="125" t="s">
        <v>406</v>
      </c>
      <c r="C165" s="125">
        <f t="shared" si="8"/>
        <v>2353.1428571428573</v>
      </c>
      <c r="D165" s="125">
        <f t="shared" si="8"/>
        <v>2101.8571428571427</v>
      </c>
      <c r="E165" s="125">
        <f t="shared" si="9"/>
        <v>1822105.6000000001</v>
      </c>
      <c r="F165" s="125">
        <f t="shared" si="10"/>
        <v>3399925</v>
      </c>
      <c r="G165" s="125">
        <f t="shared" si="11"/>
        <v>33256000</v>
      </c>
      <c r="H165" s="125">
        <v>1239</v>
      </c>
      <c r="I165" s="125">
        <v>31783</v>
      </c>
      <c r="J165" s="125">
        <v>234</v>
      </c>
      <c r="K165" s="125">
        <v>1614</v>
      </c>
      <c r="L165" s="125">
        <v>1472</v>
      </c>
      <c r="M165" s="125">
        <v>1419</v>
      </c>
      <c r="N165" s="125">
        <v>1320</v>
      </c>
      <c r="O165" s="125">
        <v>1584</v>
      </c>
      <c r="P165" s="125">
        <v>1460</v>
      </c>
      <c r="Q165" s="125">
        <v>2160</v>
      </c>
      <c r="R165" s="125">
        <v>2070</v>
      </c>
      <c r="S165" s="125">
        <v>4092</v>
      </c>
      <c r="T165" s="125">
        <v>2828</v>
      </c>
      <c r="U165" s="125">
        <v>1685</v>
      </c>
      <c r="V165" s="125">
        <v>1627</v>
      </c>
      <c r="W165" s="125">
        <v>3918</v>
      </c>
      <c r="X165" s="125">
        <v>3936</v>
      </c>
      <c r="Y165" s="125">
        <v>12620</v>
      </c>
      <c r="Z165" s="125">
        <v>12710</v>
      </c>
    </row>
    <row r="166" spans="2:26" x14ac:dyDescent="0.2">
      <c r="B166" s="125" t="s">
        <v>366</v>
      </c>
      <c r="C166" s="125">
        <f t="shared" si="8"/>
        <v>34420.857142857145</v>
      </c>
      <c r="D166" s="125">
        <f t="shared" si="8"/>
        <v>38421.857142857145</v>
      </c>
      <c r="E166" s="125">
        <f t="shared" si="9"/>
        <v>9309798.4000000004</v>
      </c>
      <c r="F166" s="125">
        <f t="shared" si="10"/>
        <v>17371450</v>
      </c>
      <c r="G166" s="125">
        <f t="shared" si="11"/>
        <v>171354000</v>
      </c>
      <c r="H166" s="125">
        <v>858</v>
      </c>
      <c r="I166" s="125">
        <v>165256</v>
      </c>
      <c r="J166" s="125">
        <v>5240</v>
      </c>
      <c r="K166" s="125">
        <v>38501</v>
      </c>
      <c r="L166" s="125">
        <v>42278</v>
      </c>
      <c r="M166" s="125">
        <v>77954</v>
      </c>
      <c r="N166" s="125">
        <v>73609</v>
      </c>
      <c r="O166" s="125">
        <v>36375</v>
      </c>
      <c r="P166" s="125">
        <v>58141</v>
      </c>
      <c r="Q166" s="125">
        <v>18152</v>
      </c>
      <c r="R166" s="125">
        <v>19224</v>
      </c>
      <c r="S166" s="125">
        <v>28067</v>
      </c>
      <c r="T166" s="125">
        <v>32902</v>
      </c>
      <c r="U166" s="125">
        <v>21892</v>
      </c>
      <c r="V166" s="125">
        <v>23118</v>
      </c>
      <c r="W166" s="125">
        <v>20005</v>
      </c>
      <c r="X166" s="125">
        <v>19681</v>
      </c>
      <c r="Y166" s="125">
        <v>64546</v>
      </c>
      <c r="Z166" s="125">
        <v>64940</v>
      </c>
    </row>
    <row r="167" spans="2:26" x14ac:dyDescent="0.2">
      <c r="B167" s="125" t="s">
        <v>488</v>
      </c>
      <c r="C167" s="125">
        <f t="shared" si="8"/>
        <v>2612.5714285714284</v>
      </c>
      <c r="D167" s="125">
        <f t="shared" si="8"/>
        <v>2705.8571428571427</v>
      </c>
      <c r="E167" s="125">
        <f t="shared" si="9"/>
        <v>6564311.040000001</v>
      </c>
      <c r="F167" s="125">
        <f t="shared" si="10"/>
        <v>12248557.5</v>
      </c>
      <c r="G167" s="125">
        <f t="shared" si="11"/>
        <v>126160000</v>
      </c>
      <c r="H167" s="125">
        <v>14612</v>
      </c>
      <c r="I167" s="125">
        <v>103727</v>
      </c>
      <c r="J167" s="125">
        <v>7821</v>
      </c>
      <c r="K167" s="125">
        <v>1793</v>
      </c>
      <c r="L167" s="125">
        <v>1419</v>
      </c>
      <c r="M167" s="125">
        <v>1431</v>
      </c>
      <c r="N167" s="125">
        <v>1209</v>
      </c>
      <c r="O167" s="125">
        <v>2694</v>
      </c>
      <c r="P167" s="125">
        <v>3996</v>
      </c>
      <c r="Q167" s="125">
        <v>2642</v>
      </c>
      <c r="R167" s="125">
        <v>2874</v>
      </c>
      <c r="S167" s="125">
        <v>3064</v>
      </c>
      <c r="T167" s="125">
        <v>3130</v>
      </c>
      <c r="U167" s="125">
        <v>3442</v>
      </c>
      <c r="V167" s="125">
        <v>3333</v>
      </c>
      <c r="W167" s="125">
        <v>3222</v>
      </c>
      <c r="X167" s="125">
        <v>2980</v>
      </c>
      <c r="Y167" s="125">
        <v>45954</v>
      </c>
      <c r="Z167" s="125">
        <v>45789</v>
      </c>
    </row>
    <row r="168" spans="2:26" x14ac:dyDescent="0.2">
      <c r="B168" s="125" t="s">
        <v>325</v>
      </c>
      <c r="C168" s="125">
        <f t="shared" si="8"/>
        <v>2985.4285714285716</v>
      </c>
      <c r="D168" s="125">
        <f t="shared" si="8"/>
        <v>3114.2857142857142</v>
      </c>
      <c r="E168" s="125">
        <f t="shared" si="9"/>
        <v>3250114.5600000005</v>
      </c>
      <c r="F168" s="125">
        <f t="shared" si="10"/>
        <v>6064492.5</v>
      </c>
      <c r="G168" s="125">
        <f t="shared" si="11"/>
        <v>66903000</v>
      </c>
      <c r="H168" s="125">
        <v>2113</v>
      </c>
      <c r="I168" s="125">
        <v>64673</v>
      </c>
      <c r="J168" s="125">
        <v>117</v>
      </c>
      <c r="K168" s="125">
        <v>5551</v>
      </c>
      <c r="L168" s="125">
        <v>3904</v>
      </c>
      <c r="M168" s="125">
        <v>4034</v>
      </c>
      <c r="N168" s="125">
        <v>3944</v>
      </c>
      <c r="O168" s="125">
        <v>2302</v>
      </c>
      <c r="P168" s="125">
        <v>4705</v>
      </c>
      <c r="Q168" s="125">
        <v>3286</v>
      </c>
      <c r="R168" s="125">
        <v>2934</v>
      </c>
      <c r="S168" s="125">
        <v>1831</v>
      </c>
      <c r="T168" s="125">
        <v>3656</v>
      </c>
      <c r="U168" s="125">
        <v>2169</v>
      </c>
      <c r="V168" s="125">
        <v>904</v>
      </c>
      <c r="W168" s="125">
        <v>1725</v>
      </c>
      <c r="X168" s="125">
        <v>1753</v>
      </c>
      <c r="Y168" s="125">
        <v>22524</v>
      </c>
      <c r="Z168" s="125">
        <v>22671</v>
      </c>
    </row>
    <row r="169" spans="2:26" x14ac:dyDescent="0.2">
      <c r="B169" s="125" t="s">
        <v>517</v>
      </c>
      <c r="C169" s="125">
        <f t="shared" si="8"/>
        <v>496.14285714285717</v>
      </c>
      <c r="D169" s="125">
        <f t="shared" si="8"/>
        <v>1014</v>
      </c>
      <c r="E169" s="125">
        <f t="shared" si="9"/>
        <v>1839738.8800000001</v>
      </c>
      <c r="F169" s="125">
        <f t="shared" si="10"/>
        <v>3432827.5</v>
      </c>
      <c r="G169" s="125">
        <f t="shared" si="11"/>
        <v>30536000</v>
      </c>
      <c r="H169" s="125">
        <v>2505</v>
      </c>
      <c r="I169" s="125">
        <v>26914</v>
      </c>
      <c r="J169" s="125">
        <v>1117</v>
      </c>
      <c r="K169" s="125">
        <v>251</v>
      </c>
      <c r="L169" s="125">
        <v>247</v>
      </c>
      <c r="M169" s="125">
        <v>811</v>
      </c>
      <c r="N169" s="125">
        <v>3936</v>
      </c>
      <c r="O169" s="125">
        <v>100</v>
      </c>
      <c r="P169" s="125">
        <v>178</v>
      </c>
      <c r="Q169" s="125">
        <v>1979</v>
      </c>
      <c r="R169" s="125">
        <v>2241</v>
      </c>
      <c r="S169" s="125">
        <v>323</v>
      </c>
      <c r="T169" s="125">
        <v>387</v>
      </c>
      <c r="U169" s="125">
        <v>-21</v>
      </c>
      <c r="V169" s="125">
        <v>73</v>
      </c>
      <c r="W169" s="125">
        <v>30</v>
      </c>
      <c r="X169" s="125">
        <v>36</v>
      </c>
      <c r="Y169" s="125">
        <v>12875</v>
      </c>
      <c r="Z169" s="125">
        <v>12833</v>
      </c>
    </row>
    <row r="170" spans="2:26" x14ac:dyDescent="0.2">
      <c r="B170" s="125" t="s">
        <v>367</v>
      </c>
      <c r="C170" s="125">
        <f t="shared" si="8"/>
        <v>1370.1428571428571</v>
      </c>
      <c r="D170" s="125">
        <f t="shared" si="8"/>
        <v>1451.5714285714287</v>
      </c>
      <c r="E170" s="125">
        <f t="shared" si="9"/>
        <v>1591152.6400000001</v>
      </c>
      <c r="F170" s="125">
        <f t="shared" si="10"/>
        <v>2968982.5</v>
      </c>
      <c r="G170" s="125">
        <f t="shared" si="11"/>
        <v>13606000</v>
      </c>
      <c r="H170" s="125">
        <v>0</v>
      </c>
      <c r="I170" s="125">
        <v>13224</v>
      </c>
      <c r="J170" s="125">
        <v>382</v>
      </c>
      <c r="K170" s="125">
        <v>1011</v>
      </c>
      <c r="L170" s="125">
        <v>630</v>
      </c>
      <c r="M170" s="125">
        <v>831</v>
      </c>
      <c r="N170" s="125">
        <v>2272</v>
      </c>
      <c r="O170" s="125">
        <v>1126</v>
      </c>
      <c r="P170" s="125">
        <v>1411</v>
      </c>
      <c r="Q170" s="125">
        <v>2154</v>
      </c>
      <c r="R170" s="125">
        <v>1856</v>
      </c>
      <c r="S170" s="125">
        <v>676</v>
      </c>
      <c r="T170" s="125">
        <v>854</v>
      </c>
      <c r="U170" s="125">
        <v>2732</v>
      </c>
      <c r="V170" s="125">
        <v>2492</v>
      </c>
      <c r="W170" s="125">
        <v>1061</v>
      </c>
      <c r="X170" s="125">
        <v>646</v>
      </c>
      <c r="Y170" s="125">
        <v>10954</v>
      </c>
      <c r="Z170" s="125">
        <v>11099</v>
      </c>
    </row>
    <row r="171" spans="2:26" x14ac:dyDescent="0.2">
      <c r="B171" s="125" t="s">
        <v>368</v>
      </c>
      <c r="C171" s="125">
        <f t="shared" si="8"/>
        <v>4933</v>
      </c>
      <c r="D171" s="125">
        <f t="shared" si="8"/>
        <v>6129.5714285714284</v>
      </c>
      <c r="E171" s="125">
        <f t="shared" si="9"/>
        <v>4199014.4000000004</v>
      </c>
      <c r="F171" s="125">
        <f t="shared" si="10"/>
        <v>7835075</v>
      </c>
      <c r="G171" s="125">
        <f t="shared" si="11"/>
        <v>50727000</v>
      </c>
      <c r="H171" s="125">
        <v>0</v>
      </c>
      <c r="I171" s="125">
        <v>49815</v>
      </c>
      <c r="J171" s="125">
        <v>912</v>
      </c>
      <c r="K171" s="125">
        <v>5403</v>
      </c>
      <c r="L171" s="125">
        <v>6396</v>
      </c>
      <c r="M171" s="125">
        <v>8617</v>
      </c>
      <c r="N171" s="125">
        <v>14606</v>
      </c>
      <c r="O171" s="125">
        <v>4585</v>
      </c>
      <c r="P171" s="125">
        <v>3620</v>
      </c>
      <c r="Q171" s="125">
        <v>5143</v>
      </c>
      <c r="R171" s="125">
        <v>6442</v>
      </c>
      <c r="S171" s="125">
        <v>3472</v>
      </c>
      <c r="T171" s="125">
        <v>3621</v>
      </c>
      <c r="U171" s="125">
        <v>3272</v>
      </c>
      <c r="V171" s="125">
        <v>4192</v>
      </c>
      <c r="W171" s="125">
        <v>4039</v>
      </c>
      <c r="X171" s="125">
        <v>4030</v>
      </c>
      <c r="Y171" s="125">
        <v>29139</v>
      </c>
      <c r="Z171" s="125">
        <v>29290</v>
      </c>
    </row>
    <row r="172" spans="2:26" x14ac:dyDescent="0.2">
      <c r="B172" s="125" t="s">
        <v>567</v>
      </c>
      <c r="C172" s="125">
        <f t="shared" si="8"/>
        <v>13323.142857142857</v>
      </c>
      <c r="D172" s="125">
        <f t="shared" si="8"/>
        <v>13124.285714285714</v>
      </c>
      <c r="E172" s="125">
        <f t="shared" si="9"/>
        <v>7978844.1600000011</v>
      </c>
      <c r="F172" s="125">
        <f t="shared" si="10"/>
        <v>14887980</v>
      </c>
      <c r="G172" s="125">
        <f t="shared" si="11"/>
        <v>105655000</v>
      </c>
      <c r="H172" s="125">
        <v>684</v>
      </c>
      <c r="I172" s="125">
        <v>103105</v>
      </c>
      <c r="J172" s="125">
        <v>1866</v>
      </c>
      <c r="K172" s="125">
        <v>15479</v>
      </c>
      <c r="L172" s="125">
        <v>15339</v>
      </c>
      <c r="M172" s="125">
        <v>35731</v>
      </c>
      <c r="N172" s="125">
        <v>35165</v>
      </c>
      <c r="O172" s="125">
        <v>12373</v>
      </c>
      <c r="P172" s="125">
        <v>12523</v>
      </c>
      <c r="Q172" s="125">
        <v>7606</v>
      </c>
      <c r="R172" s="125">
        <v>5896</v>
      </c>
      <c r="S172" s="125">
        <v>8968</v>
      </c>
      <c r="T172" s="125">
        <v>7939</v>
      </c>
      <c r="U172" s="125">
        <v>6278</v>
      </c>
      <c r="V172" s="125">
        <v>6271</v>
      </c>
      <c r="W172" s="125">
        <v>6827</v>
      </c>
      <c r="X172" s="125">
        <v>8737</v>
      </c>
      <c r="Y172" s="125">
        <v>55218</v>
      </c>
      <c r="Z172" s="125">
        <v>55656</v>
      </c>
    </row>
    <row r="173" spans="2:26" x14ac:dyDescent="0.2">
      <c r="B173" s="125" t="s">
        <v>449</v>
      </c>
      <c r="C173" s="125">
        <f t="shared" si="8"/>
        <v>7526.8571428571431</v>
      </c>
      <c r="D173" s="125">
        <f t="shared" si="8"/>
        <v>7575.8571428571431</v>
      </c>
      <c r="E173" s="125">
        <f t="shared" si="9"/>
        <v>3176714.2400000002</v>
      </c>
      <c r="F173" s="125">
        <f t="shared" si="10"/>
        <v>5927532.5</v>
      </c>
      <c r="G173" s="125">
        <f t="shared" si="11"/>
        <v>45392000</v>
      </c>
      <c r="H173" s="125">
        <v>245</v>
      </c>
      <c r="I173" s="125">
        <v>45147</v>
      </c>
      <c r="J173" s="125">
        <v>0</v>
      </c>
      <c r="K173" s="125">
        <v>10199</v>
      </c>
      <c r="L173" s="125">
        <v>9776</v>
      </c>
      <c r="M173" s="125">
        <v>8631</v>
      </c>
      <c r="N173" s="125">
        <v>8846</v>
      </c>
      <c r="O173" s="125">
        <v>6576</v>
      </c>
      <c r="P173" s="125">
        <v>5488</v>
      </c>
      <c r="Q173" s="125">
        <v>6057</v>
      </c>
      <c r="R173" s="125">
        <v>7411</v>
      </c>
      <c r="S173" s="125">
        <v>9554</v>
      </c>
      <c r="T173" s="125">
        <v>10019</v>
      </c>
      <c r="U173" s="125">
        <v>5525</v>
      </c>
      <c r="V173" s="125">
        <v>6229</v>
      </c>
      <c r="W173" s="125">
        <v>6146</v>
      </c>
      <c r="X173" s="125">
        <v>5262</v>
      </c>
      <c r="Y173" s="125">
        <v>21945</v>
      </c>
      <c r="Z173" s="125">
        <v>22159</v>
      </c>
    </row>
    <row r="174" spans="2:26" x14ac:dyDescent="0.2">
      <c r="B174" s="125" t="s">
        <v>450</v>
      </c>
      <c r="C174" s="125">
        <f t="shared" si="8"/>
        <v>4205.1428571428569</v>
      </c>
      <c r="D174" s="125">
        <f t="shared" si="8"/>
        <v>5275.8571428571431</v>
      </c>
      <c r="E174" s="125">
        <f t="shared" si="9"/>
        <v>2199142.4000000004</v>
      </c>
      <c r="F174" s="125">
        <f t="shared" si="10"/>
        <v>4103450</v>
      </c>
      <c r="G174" s="125">
        <f t="shared" si="11"/>
        <v>25116000</v>
      </c>
      <c r="H174" s="125">
        <v>223</v>
      </c>
      <c r="I174" s="125">
        <v>24892</v>
      </c>
      <c r="J174" s="125">
        <v>1</v>
      </c>
      <c r="K174" s="125">
        <v>3829</v>
      </c>
      <c r="L174" s="125">
        <v>7074</v>
      </c>
      <c r="M174" s="125">
        <v>5575</v>
      </c>
      <c r="N174" s="125">
        <v>9841</v>
      </c>
      <c r="O174" s="125">
        <v>2633</v>
      </c>
      <c r="P174" s="125">
        <v>3486</v>
      </c>
      <c r="Q174" s="125">
        <v>5493</v>
      </c>
      <c r="R174" s="125">
        <v>6456</v>
      </c>
      <c r="S174" s="125">
        <v>2809</v>
      </c>
      <c r="T174" s="125">
        <v>3376</v>
      </c>
      <c r="U174" s="125">
        <v>3658</v>
      </c>
      <c r="V174" s="125">
        <v>3164</v>
      </c>
      <c r="W174" s="125">
        <v>5439</v>
      </c>
      <c r="X174" s="125">
        <v>3534</v>
      </c>
      <c r="Y174" s="125">
        <v>15317</v>
      </c>
      <c r="Z174" s="125">
        <v>15340</v>
      </c>
    </row>
    <row r="175" spans="2:26" x14ac:dyDescent="0.2">
      <c r="B175" s="125" t="s">
        <v>489</v>
      </c>
      <c r="C175" s="125">
        <f t="shared" si="8"/>
        <v>2412</v>
      </c>
      <c r="D175" s="125">
        <f t="shared" si="8"/>
        <v>2710.1428571428573</v>
      </c>
      <c r="E175" s="125">
        <f t="shared" si="9"/>
        <v>5389045.7600000007</v>
      </c>
      <c r="F175" s="125">
        <f t="shared" si="10"/>
        <v>10055592.5</v>
      </c>
      <c r="G175" s="125">
        <f t="shared" si="11"/>
        <v>59764000</v>
      </c>
      <c r="H175" s="125">
        <v>97</v>
      </c>
      <c r="I175" s="125">
        <v>58870</v>
      </c>
      <c r="J175" s="125">
        <v>797</v>
      </c>
      <c r="K175" s="125">
        <v>1781</v>
      </c>
      <c r="L175" s="125">
        <v>3563</v>
      </c>
      <c r="M175" s="125">
        <v>2355</v>
      </c>
      <c r="N175" s="125">
        <v>3789</v>
      </c>
      <c r="O175" s="125">
        <v>3860</v>
      </c>
      <c r="P175" s="125">
        <v>3409</v>
      </c>
      <c r="Q175" s="125">
        <v>3552</v>
      </c>
      <c r="R175" s="125">
        <v>2228</v>
      </c>
      <c r="S175" s="125">
        <v>587</v>
      </c>
      <c r="T175" s="125">
        <v>880</v>
      </c>
      <c r="U175" s="125">
        <v>2454</v>
      </c>
      <c r="V175" s="125">
        <v>2611</v>
      </c>
      <c r="W175" s="125">
        <v>2295</v>
      </c>
      <c r="X175" s="125">
        <v>2491</v>
      </c>
      <c r="Y175" s="125">
        <v>37479</v>
      </c>
      <c r="Z175" s="125">
        <v>37591</v>
      </c>
    </row>
    <row r="176" spans="2:26" x14ac:dyDescent="0.2">
      <c r="B176" s="125" t="s">
        <v>326</v>
      </c>
      <c r="C176" s="125">
        <f t="shared" si="8"/>
        <v>4716</v>
      </c>
      <c r="D176" s="125">
        <f t="shared" si="8"/>
        <v>4576.1428571428569</v>
      </c>
      <c r="E176" s="125">
        <f t="shared" si="9"/>
        <v>1639895.0400000003</v>
      </c>
      <c r="F176" s="125">
        <f t="shared" si="10"/>
        <v>3059932.5</v>
      </c>
      <c r="G176" s="125">
        <f t="shared" si="11"/>
        <v>18963000</v>
      </c>
      <c r="H176" s="125">
        <v>346</v>
      </c>
      <c r="I176" s="125">
        <v>18473</v>
      </c>
      <c r="J176" s="125">
        <v>144</v>
      </c>
      <c r="K176" s="125">
        <v>1236</v>
      </c>
      <c r="L176" s="125">
        <v>1167</v>
      </c>
      <c r="M176" s="125">
        <v>3034</v>
      </c>
      <c r="N176" s="125">
        <v>2510</v>
      </c>
      <c r="O176" s="125">
        <v>3661</v>
      </c>
      <c r="P176" s="125">
        <v>5445</v>
      </c>
      <c r="Q176" s="125">
        <v>5359</v>
      </c>
      <c r="R176" s="125">
        <v>5760</v>
      </c>
      <c r="S176" s="125">
        <v>4030</v>
      </c>
      <c r="T176" s="125">
        <v>3101</v>
      </c>
      <c r="U176" s="125">
        <v>10850</v>
      </c>
      <c r="V176" s="125">
        <v>9209</v>
      </c>
      <c r="W176" s="125">
        <v>4842</v>
      </c>
      <c r="X176" s="125">
        <v>4841</v>
      </c>
      <c r="Y176" s="125">
        <v>11270</v>
      </c>
      <c r="Z176" s="125">
        <v>11439</v>
      </c>
    </row>
    <row r="177" spans="2:26" x14ac:dyDescent="0.2">
      <c r="B177" s="125" t="s">
        <v>327</v>
      </c>
      <c r="C177" s="125">
        <f t="shared" si="8"/>
        <v>11944.285714285714</v>
      </c>
      <c r="D177" s="125">
        <f t="shared" si="8"/>
        <v>12712.142857142857</v>
      </c>
      <c r="E177" s="125">
        <f t="shared" si="9"/>
        <v>3991285.7600000002</v>
      </c>
      <c r="F177" s="125">
        <f t="shared" si="10"/>
        <v>7447467.5</v>
      </c>
      <c r="G177" s="125">
        <f t="shared" si="11"/>
        <v>69101000</v>
      </c>
      <c r="H177" s="125">
        <v>0</v>
      </c>
      <c r="I177" s="125">
        <v>69082</v>
      </c>
      <c r="J177" s="125">
        <v>19</v>
      </c>
      <c r="K177" s="125">
        <v>11988</v>
      </c>
      <c r="L177" s="125">
        <v>9200</v>
      </c>
      <c r="M177" s="125">
        <v>8188</v>
      </c>
      <c r="N177" s="125">
        <v>7164</v>
      </c>
      <c r="O177" s="125">
        <v>17951</v>
      </c>
      <c r="P177" s="125">
        <v>26324</v>
      </c>
      <c r="Q177" s="125">
        <v>14219</v>
      </c>
      <c r="R177" s="125">
        <v>11008</v>
      </c>
      <c r="S177" s="125">
        <v>12328</v>
      </c>
      <c r="T177" s="125">
        <v>19635</v>
      </c>
      <c r="U177" s="125">
        <v>10435</v>
      </c>
      <c r="V177" s="125">
        <v>5936</v>
      </c>
      <c r="W177" s="125">
        <v>8501</v>
      </c>
      <c r="X177" s="125">
        <v>9718</v>
      </c>
      <c r="Y177" s="125">
        <v>27616</v>
      </c>
      <c r="Z177" s="125">
        <v>27841</v>
      </c>
    </row>
    <row r="178" spans="2:26" x14ac:dyDescent="0.2">
      <c r="B178" s="125" t="s">
        <v>369</v>
      </c>
      <c r="C178" s="125">
        <f t="shared" si="8"/>
        <v>50002.571428571428</v>
      </c>
      <c r="D178" s="125">
        <f t="shared" si="8"/>
        <v>53995.285714285717</v>
      </c>
      <c r="E178" s="125">
        <f t="shared" si="9"/>
        <v>8769904.6400000006</v>
      </c>
      <c r="F178" s="125">
        <f t="shared" si="10"/>
        <v>16364045</v>
      </c>
      <c r="G178" s="125">
        <f t="shared" si="11"/>
        <v>198056000</v>
      </c>
      <c r="H178" s="125">
        <v>7397</v>
      </c>
      <c r="I178" s="125">
        <v>190036</v>
      </c>
      <c r="J178" s="125">
        <v>623</v>
      </c>
      <c r="K178" s="125">
        <v>52816</v>
      </c>
      <c r="L178" s="125">
        <v>68386</v>
      </c>
      <c r="M178" s="125">
        <v>37717</v>
      </c>
      <c r="N178" s="125">
        <v>37323</v>
      </c>
      <c r="O178" s="125">
        <v>35655</v>
      </c>
      <c r="P178" s="125">
        <v>52531</v>
      </c>
      <c r="Q178" s="125">
        <v>45348</v>
      </c>
      <c r="R178" s="125">
        <v>89045</v>
      </c>
      <c r="S178" s="125">
        <v>24409</v>
      </c>
      <c r="T178" s="125">
        <v>27335</v>
      </c>
      <c r="U178" s="125">
        <v>71067</v>
      </c>
      <c r="V178" s="125">
        <v>37357</v>
      </c>
      <c r="W178" s="125">
        <v>83006</v>
      </c>
      <c r="X178" s="125">
        <v>65990</v>
      </c>
      <c r="Y178" s="125">
        <v>60098</v>
      </c>
      <c r="Z178" s="125">
        <v>61174</v>
      </c>
    </row>
    <row r="179" spans="2:26" x14ac:dyDescent="0.2">
      <c r="B179" s="125" t="s">
        <v>328</v>
      </c>
      <c r="C179" s="125">
        <f t="shared" si="8"/>
        <v>762.71428571428567</v>
      </c>
      <c r="D179" s="125">
        <f t="shared" si="8"/>
        <v>639.14285714285711</v>
      </c>
      <c r="E179" s="125">
        <f t="shared" si="9"/>
        <v>1596456.9600000002</v>
      </c>
      <c r="F179" s="125">
        <f t="shared" si="10"/>
        <v>2978880</v>
      </c>
      <c r="G179" s="125">
        <f t="shared" si="11"/>
        <v>22603000</v>
      </c>
      <c r="H179" s="125">
        <v>8</v>
      </c>
      <c r="I179" s="125">
        <v>22595</v>
      </c>
      <c r="J179" s="125">
        <v>0</v>
      </c>
      <c r="K179" s="125">
        <v>504</v>
      </c>
      <c r="L179" s="125">
        <v>350</v>
      </c>
      <c r="M179" s="125">
        <v>828</v>
      </c>
      <c r="N179" s="125">
        <v>737</v>
      </c>
      <c r="O179" s="125">
        <v>406</v>
      </c>
      <c r="P179" s="125">
        <v>386</v>
      </c>
      <c r="Q179" s="125">
        <v>521</v>
      </c>
      <c r="R179" s="125">
        <v>221</v>
      </c>
      <c r="S179" s="125">
        <v>481</v>
      </c>
      <c r="T179" s="125">
        <v>226</v>
      </c>
      <c r="U179" s="125">
        <v>1268</v>
      </c>
      <c r="V179" s="125">
        <v>1199</v>
      </c>
      <c r="W179" s="125">
        <v>1331</v>
      </c>
      <c r="X179" s="125">
        <v>1355</v>
      </c>
      <c r="Y179" s="125">
        <v>11089</v>
      </c>
      <c r="Z179" s="125">
        <v>11136</v>
      </c>
    </row>
    <row r="180" spans="2:26" x14ac:dyDescent="0.2">
      <c r="B180" s="125" t="s">
        <v>166</v>
      </c>
      <c r="C180" s="125">
        <f t="shared" si="8"/>
        <v>6584.1428571428569</v>
      </c>
      <c r="D180" s="125">
        <f t="shared" si="8"/>
        <v>6818.4285714285716</v>
      </c>
      <c r="E180" s="125">
        <f t="shared" si="9"/>
        <v>2820751.3600000003</v>
      </c>
      <c r="F180" s="125">
        <f t="shared" si="10"/>
        <v>5263330</v>
      </c>
      <c r="G180" s="125">
        <f t="shared" si="11"/>
        <v>63057000</v>
      </c>
      <c r="H180" s="125">
        <v>108</v>
      </c>
      <c r="I180" s="125">
        <v>62844</v>
      </c>
      <c r="J180" s="125">
        <v>105</v>
      </c>
      <c r="K180" s="125">
        <v>10016</v>
      </c>
      <c r="L180" s="125">
        <v>9522</v>
      </c>
      <c r="M180" s="125">
        <v>7623</v>
      </c>
      <c r="N180" s="125">
        <v>9251</v>
      </c>
      <c r="O180" s="125">
        <v>6333</v>
      </c>
      <c r="P180" s="125">
        <v>6705</v>
      </c>
      <c r="Q180" s="125">
        <v>5059</v>
      </c>
      <c r="R180" s="125">
        <v>4624</v>
      </c>
      <c r="S180" s="125">
        <v>4007</v>
      </c>
      <c r="T180" s="125">
        <v>4363</v>
      </c>
      <c r="U180" s="125">
        <v>4371</v>
      </c>
      <c r="V180" s="125">
        <v>4482</v>
      </c>
      <c r="W180" s="125">
        <v>8680</v>
      </c>
      <c r="X180" s="125">
        <v>8782</v>
      </c>
      <c r="Y180" s="125">
        <v>19644</v>
      </c>
      <c r="Z180" s="125">
        <v>19676</v>
      </c>
    </row>
    <row r="181" spans="2:26" x14ac:dyDescent="0.2">
      <c r="B181" s="125" t="s">
        <v>370</v>
      </c>
      <c r="C181" s="125">
        <f t="shared" si="8"/>
        <v>2666.2857142857142</v>
      </c>
      <c r="D181" s="125">
        <f t="shared" si="8"/>
        <v>2904.4285714285716</v>
      </c>
      <c r="E181" s="125">
        <f t="shared" si="9"/>
        <v>3014287.3600000003</v>
      </c>
      <c r="F181" s="125">
        <f t="shared" si="10"/>
        <v>5624455</v>
      </c>
      <c r="G181" s="125">
        <f t="shared" si="11"/>
        <v>47544000</v>
      </c>
      <c r="H181" s="125">
        <v>0</v>
      </c>
      <c r="I181" s="125">
        <v>46779</v>
      </c>
      <c r="J181" s="125">
        <v>765</v>
      </c>
      <c r="K181" s="125">
        <v>2970</v>
      </c>
      <c r="L181" s="125">
        <v>2958</v>
      </c>
      <c r="M181" s="125">
        <v>4346</v>
      </c>
      <c r="N181" s="125">
        <v>4433</v>
      </c>
      <c r="O181" s="125">
        <v>4301</v>
      </c>
      <c r="P181" s="125">
        <v>5126</v>
      </c>
      <c r="Q181" s="125">
        <v>5980</v>
      </c>
      <c r="R181" s="125">
        <v>7219</v>
      </c>
      <c r="S181" s="125">
        <v>1</v>
      </c>
      <c r="T181" s="125">
        <v>37</v>
      </c>
      <c r="U181" s="125">
        <v>509</v>
      </c>
      <c r="V181" s="125">
        <v>511</v>
      </c>
      <c r="W181" s="125">
        <v>557</v>
      </c>
      <c r="X181" s="125">
        <v>47</v>
      </c>
      <c r="Y181" s="125">
        <v>20905</v>
      </c>
      <c r="Z181" s="125">
        <v>21026</v>
      </c>
    </row>
    <row r="182" spans="2:26" x14ac:dyDescent="0.2">
      <c r="B182" s="125" t="s">
        <v>187</v>
      </c>
      <c r="C182" s="125">
        <v>48760.197898845108</v>
      </c>
      <c r="D182" s="125">
        <v>49679.38393684214</v>
      </c>
      <c r="E182" s="125">
        <v>17547195.232535396</v>
      </c>
      <c r="F182" s="125">
        <v>32741871.684592757</v>
      </c>
      <c r="G182" s="125">
        <f t="shared" si="11"/>
        <v>361735560.58098912</v>
      </c>
      <c r="H182" s="125">
        <v>42</v>
      </c>
      <c r="I182" s="125">
        <v>357229.82772568485</v>
      </c>
      <c r="J182" s="125">
        <v>4463.7328553042844</v>
      </c>
      <c r="K182" s="125">
        <v>50133.239660452171</v>
      </c>
      <c r="L182" s="125">
        <v>52031.917688194677</v>
      </c>
      <c r="M182" s="125">
        <v>77061.075757847299</v>
      </c>
      <c r="N182" s="125">
        <v>80578.619403917299</v>
      </c>
      <c r="O182" s="125">
        <v>87025.527543752411</v>
      </c>
      <c r="P182" s="125">
        <v>88229.094691434977</v>
      </c>
      <c r="Q182" s="125">
        <v>20073.007856615179</v>
      </c>
      <c r="R182" s="125">
        <v>20284.995836859478</v>
      </c>
      <c r="S182" s="125">
        <v>21734.123368266224</v>
      </c>
      <c r="T182" s="125">
        <v>22077.116197830484</v>
      </c>
      <c r="U182" s="125">
        <v>48746.258687258691</v>
      </c>
      <c r="V182" s="125">
        <v>48945.343077771649</v>
      </c>
      <c r="W182" s="125">
        <v>36548.152417723846</v>
      </c>
      <c r="X182" s="125">
        <v>35608.600661886376</v>
      </c>
      <c r="Y182" s="125">
        <v>122206.10590182019</v>
      </c>
      <c r="Z182" s="125">
        <v>122399.5203162346</v>
      </c>
    </row>
    <row r="183" spans="2:26" x14ac:dyDescent="0.2">
      <c r="B183" s="125" t="s">
        <v>371</v>
      </c>
      <c r="C183" s="125">
        <f t="shared" si="8"/>
        <v>39761.428571428572</v>
      </c>
      <c r="D183" s="125">
        <f t="shared" si="8"/>
        <v>52587</v>
      </c>
      <c r="E183" s="125">
        <f t="shared" si="9"/>
        <v>17822515.200000003</v>
      </c>
      <c r="F183" s="125">
        <f t="shared" si="10"/>
        <v>33255600</v>
      </c>
      <c r="G183" s="125">
        <f t="shared" si="11"/>
        <v>570804000</v>
      </c>
      <c r="H183" s="125">
        <v>451</v>
      </c>
      <c r="I183" s="125">
        <v>560216</v>
      </c>
      <c r="J183" s="125">
        <v>10137</v>
      </c>
      <c r="K183" s="125">
        <v>54264</v>
      </c>
      <c r="L183" s="125">
        <v>92279</v>
      </c>
      <c r="M183" s="125">
        <v>36733</v>
      </c>
      <c r="N183" s="125">
        <v>42391</v>
      </c>
      <c r="O183" s="125">
        <v>40363</v>
      </c>
      <c r="P183" s="125">
        <v>53626</v>
      </c>
      <c r="Q183" s="125">
        <v>27796</v>
      </c>
      <c r="R183" s="125">
        <v>43167</v>
      </c>
      <c r="S183" s="125">
        <v>43094</v>
      </c>
      <c r="T183" s="125">
        <v>51563</v>
      </c>
      <c r="U183" s="125">
        <v>35369</v>
      </c>
      <c r="V183" s="125">
        <v>44820</v>
      </c>
      <c r="W183" s="125">
        <v>40711</v>
      </c>
      <c r="X183" s="125">
        <v>40263</v>
      </c>
      <c r="Y183" s="125">
        <v>123752</v>
      </c>
      <c r="Z183" s="125">
        <v>124320</v>
      </c>
    </row>
    <row r="184" spans="2:26" x14ac:dyDescent="0.2">
      <c r="B184" s="125" t="s">
        <v>372</v>
      </c>
      <c r="C184" s="125">
        <f t="shared" si="8"/>
        <v>10741.428571428571</v>
      </c>
      <c r="D184" s="125">
        <f t="shared" si="8"/>
        <v>10437</v>
      </c>
      <c r="E184" s="125">
        <f t="shared" si="9"/>
        <v>3901399.0400000005</v>
      </c>
      <c r="F184" s="125">
        <f t="shared" si="10"/>
        <v>7279745</v>
      </c>
      <c r="G184" s="125">
        <f t="shared" si="11"/>
        <v>82385000</v>
      </c>
      <c r="H184" s="125">
        <v>9050</v>
      </c>
      <c r="I184" s="125">
        <v>71198</v>
      </c>
      <c r="J184" s="125">
        <v>2137</v>
      </c>
      <c r="K184" s="125">
        <v>13871</v>
      </c>
      <c r="L184" s="125">
        <v>13554</v>
      </c>
      <c r="M184" s="125">
        <v>6595</v>
      </c>
      <c r="N184" s="125">
        <v>8806</v>
      </c>
      <c r="O184" s="125">
        <v>19895</v>
      </c>
      <c r="P184" s="125">
        <v>15029</v>
      </c>
      <c r="Q184" s="125">
        <v>8920</v>
      </c>
      <c r="R184" s="125">
        <v>9339</v>
      </c>
      <c r="S184" s="125">
        <v>8236</v>
      </c>
      <c r="T184" s="125">
        <v>6774</v>
      </c>
      <c r="U184" s="125">
        <v>13763</v>
      </c>
      <c r="V184" s="125">
        <v>11395</v>
      </c>
      <c r="W184" s="125">
        <v>3910</v>
      </c>
      <c r="X184" s="125">
        <v>8162</v>
      </c>
      <c r="Y184" s="125">
        <v>27129</v>
      </c>
      <c r="Z184" s="125">
        <v>27214</v>
      </c>
    </row>
    <row r="185" spans="2:26" x14ac:dyDescent="0.2">
      <c r="B185" s="125" t="s">
        <v>373</v>
      </c>
      <c r="C185" s="125">
        <f t="shared" si="8"/>
        <v>14124.285714285714</v>
      </c>
      <c r="D185" s="125">
        <f t="shared" si="8"/>
        <v>17055.285714285714</v>
      </c>
      <c r="E185" s="125">
        <f t="shared" si="9"/>
        <v>10744401.920000002</v>
      </c>
      <c r="F185" s="125">
        <f t="shared" si="10"/>
        <v>20048322.5</v>
      </c>
      <c r="G185" s="125">
        <f t="shared" si="11"/>
        <v>161913000</v>
      </c>
      <c r="H185" s="125">
        <v>0</v>
      </c>
      <c r="I185" s="125">
        <v>156222</v>
      </c>
      <c r="J185" s="125">
        <v>5691</v>
      </c>
      <c r="K185" s="125">
        <v>16353</v>
      </c>
      <c r="L185" s="125">
        <v>19271</v>
      </c>
      <c r="M185" s="125">
        <v>23736</v>
      </c>
      <c r="N185" s="125">
        <v>26641</v>
      </c>
      <c r="O185" s="125">
        <v>27614</v>
      </c>
      <c r="P185" s="125">
        <v>28621</v>
      </c>
      <c r="Q185" s="125">
        <v>9565</v>
      </c>
      <c r="R185" s="125">
        <v>12221</v>
      </c>
      <c r="S185" s="125">
        <v>8022</v>
      </c>
      <c r="T185" s="125">
        <v>26593</v>
      </c>
      <c r="U185" s="125">
        <v>1615</v>
      </c>
      <c r="V185" s="125">
        <v>1747</v>
      </c>
      <c r="W185" s="125">
        <v>11965</v>
      </c>
      <c r="X185" s="125">
        <v>4293</v>
      </c>
      <c r="Y185" s="125">
        <v>74608</v>
      </c>
      <c r="Z185" s="125">
        <v>74947</v>
      </c>
    </row>
    <row r="186" spans="2:26" x14ac:dyDescent="0.2">
      <c r="B186" s="125" t="s">
        <v>513</v>
      </c>
      <c r="C186" s="125">
        <f t="shared" si="8"/>
        <v>24264.285714285714</v>
      </c>
      <c r="D186" s="125">
        <f t="shared" si="8"/>
        <v>27845.857142857141</v>
      </c>
      <c r="E186" s="125">
        <f t="shared" si="9"/>
        <v>11092910.080000002</v>
      </c>
      <c r="F186" s="125">
        <f t="shared" si="10"/>
        <v>20698615</v>
      </c>
      <c r="G186" s="125">
        <f t="shared" si="11"/>
        <v>223448000</v>
      </c>
      <c r="H186" s="125">
        <v>0</v>
      </c>
      <c r="I186" s="125">
        <v>210654</v>
      </c>
      <c r="J186" s="125">
        <v>12794</v>
      </c>
      <c r="K186" s="125">
        <v>39569</v>
      </c>
      <c r="L186" s="125">
        <v>43107</v>
      </c>
      <c r="M186" s="125">
        <v>28945</v>
      </c>
      <c r="N186" s="125">
        <v>34903</v>
      </c>
      <c r="O186" s="125">
        <v>34115</v>
      </c>
      <c r="P186" s="125">
        <v>43714</v>
      </c>
      <c r="Q186" s="125">
        <v>15612</v>
      </c>
      <c r="R186" s="125">
        <v>20801</v>
      </c>
      <c r="S186" s="125">
        <v>10905</v>
      </c>
      <c r="T186" s="125">
        <v>16419</v>
      </c>
      <c r="U186" s="125">
        <v>29748</v>
      </c>
      <c r="V186" s="125">
        <v>26316</v>
      </c>
      <c r="W186" s="125">
        <v>10956</v>
      </c>
      <c r="X186" s="125">
        <v>9661</v>
      </c>
      <c r="Y186" s="125">
        <v>76970</v>
      </c>
      <c r="Z186" s="125">
        <v>77378</v>
      </c>
    </row>
    <row r="187" spans="2:26" x14ac:dyDescent="0.2">
      <c r="B187" s="125" t="s">
        <v>490</v>
      </c>
      <c r="C187" s="125">
        <f t="shared" si="8"/>
        <v>962.42857142857144</v>
      </c>
      <c r="D187" s="125">
        <f t="shared" si="8"/>
        <v>1709.7142857142858</v>
      </c>
      <c r="E187" s="125">
        <f t="shared" si="9"/>
        <v>5138452.4800000004</v>
      </c>
      <c r="F187" s="125">
        <f t="shared" si="10"/>
        <v>9588002.5</v>
      </c>
      <c r="G187" s="125">
        <f t="shared" si="11"/>
        <v>99173000</v>
      </c>
      <c r="H187" s="125">
        <v>-743</v>
      </c>
      <c r="I187" s="125">
        <v>96238</v>
      </c>
      <c r="J187" s="125">
        <v>3678</v>
      </c>
      <c r="K187" s="125">
        <v>2244</v>
      </c>
      <c r="L187" s="125">
        <v>2354</v>
      </c>
      <c r="M187" s="125">
        <v>1996</v>
      </c>
      <c r="N187" s="125">
        <v>2164</v>
      </c>
      <c r="O187" s="125">
        <v>447</v>
      </c>
      <c r="P187" s="125">
        <v>1852</v>
      </c>
      <c r="Q187" s="125">
        <v>610</v>
      </c>
      <c r="R187" s="125">
        <v>3744</v>
      </c>
      <c r="S187" s="125">
        <v>489</v>
      </c>
      <c r="T187" s="125">
        <v>568</v>
      </c>
      <c r="U187" s="125">
        <v>307</v>
      </c>
      <c r="V187" s="125">
        <v>609</v>
      </c>
      <c r="W187" s="125">
        <v>644</v>
      </c>
      <c r="X187" s="125">
        <v>677</v>
      </c>
      <c r="Y187" s="125">
        <v>35907</v>
      </c>
      <c r="Z187" s="125">
        <v>35843</v>
      </c>
    </row>
    <row r="188" spans="2:26" x14ac:dyDescent="0.2">
      <c r="B188" s="125" t="s">
        <v>285</v>
      </c>
      <c r="C188" s="125">
        <f t="shared" si="8"/>
        <v>10176.142857142857</v>
      </c>
      <c r="D188" s="125">
        <f t="shared" si="8"/>
        <v>9069.7142857142862</v>
      </c>
      <c r="E188" s="125">
        <f t="shared" si="9"/>
        <v>4266680.3200000003</v>
      </c>
      <c r="F188" s="125">
        <f t="shared" si="10"/>
        <v>7961335</v>
      </c>
      <c r="G188" s="125">
        <f t="shared" si="11"/>
        <v>14755000</v>
      </c>
      <c r="H188" s="125">
        <v>9</v>
      </c>
      <c r="I188" s="125">
        <v>14588</v>
      </c>
      <c r="J188" s="125">
        <v>158</v>
      </c>
      <c r="K188" s="125">
        <v>21154</v>
      </c>
      <c r="L188" s="125">
        <v>12362</v>
      </c>
      <c r="M188" s="125">
        <v>12560</v>
      </c>
      <c r="N188" s="125">
        <v>10679</v>
      </c>
      <c r="O188" s="125">
        <v>3711</v>
      </c>
      <c r="P188" s="125">
        <v>2978</v>
      </c>
      <c r="Q188" s="125">
        <v>4482</v>
      </c>
      <c r="R188" s="125">
        <v>6581</v>
      </c>
      <c r="S188" s="125">
        <v>13615</v>
      </c>
      <c r="T188" s="125">
        <v>13064</v>
      </c>
      <c r="U188" s="125">
        <v>9727</v>
      </c>
      <c r="V188" s="125">
        <v>11036</v>
      </c>
      <c r="W188" s="125">
        <v>5984</v>
      </c>
      <c r="X188" s="125">
        <v>6788</v>
      </c>
      <c r="Y188" s="125">
        <v>29674</v>
      </c>
      <c r="Z188" s="125">
        <v>29762</v>
      </c>
    </row>
    <row r="189" spans="2:26" x14ac:dyDescent="0.2">
      <c r="B189" s="125" t="s">
        <v>246</v>
      </c>
      <c r="C189" s="125">
        <f t="shared" si="8"/>
        <v>2039</v>
      </c>
      <c r="D189" s="125">
        <f t="shared" si="8"/>
        <v>1366.7142857142858</v>
      </c>
      <c r="E189" s="125">
        <f t="shared" si="9"/>
        <v>1596600.3200000001</v>
      </c>
      <c r="F189" s="125">
        <f t="shared" si="10"/>
        <v>2979147.5</v>
      </c>
      <c r="G189" s="125">
        <f t="shared" si="11"/>
        <v>14616000</v>
      </c>
      <c r="H189" s="125">
        <v>27</v>
      </c>
      <c r="I189" s="125">
        <v>14056</v>
      </c>
      <c r="J189" s="125">
        <v>533</v>
      </c>
      <c r="K189" s="125">
        <v>4024</v>
      </c>
      <c r="L189" s="125">
        <v>3221</v>
      </c>
      <c r="M189" s="125">
        <v>929</v>
      </c>
      <c r="N189" s="125">
        <v>80</v>
      </c>
      <c r="O189" s="125">
        <v>1642</v>
      </c>
      <c r="P189" s="125">
        <v>1547</v>
      </c>
      <c r="Q189" s="125">
        <v>1941</v>
      </c>
      <c r="R189" s="125">
        <v>1005</v>
      </c>
      <c r="S189" s="125">
        <v>1090</v>
      </c>
      <c r="T189" s="125">
        <v>836</v>
      </c>
      <c r="U189" s="125">
        <v>1100</v>
      </c>
      <c r="V189" s="125">
        <v>792</v>
      </c>
      <c r="W189" s="125">
        <v>3547</v>
      </c>
      <c r="X189" s="125">
        <v>2086</v>
      </c>
      <c r="Y189" s="125">
        <v>11164</v>
      </c>
      <c r="Z189" s="125">
        <v>11137</v>
      </c>
    </row>
    <row r="190" spans="2:26" x14ac:dyDescent="0.2">
      <c r="B190" s="125" t="s">
        <v>247</v>
      </c>
      <c r="C190" s="125">
        <f t="shared" ref="C190:D251" si="12">SUM(K190,M190,O190,Q190,S190,U190,W190)/7</f>
        <v>6046.1428571428569</v>
      </c>
      <c r="D190" s="125">
        <f t="shared" si="12"/>
        <v>6532.1428571428569</v>
      </c>
      <c r="E190" s="125">
        <f t="shared" ref="E190:E251" si="13">Z190*143.36</f>
        <v>6649466.8800000008</v>
      </c>
      <c r="F190" s="125">
        <f t="shared" ref="F190:F251" si="14">Z190*$AB$3</f>
        <v>12407452.5</v>
      </c>
      <c r="G190" s="125">
        <f t="shared" si="11"/>
        <v>107303000</v>
      </c>
      <c r="H190" s="125">
        <v>418</v>
      </c>
      <c r="I190" s="125">
        <v>106832</v>
      </c>
      <c r="J190" s="125">
        <v>53</v>
      </c>
      <c r="K190" s="125">
        <v>9342</v>
      </c>
      <c r="L190" s="125">
        <v>10951</v>
      </c>
      <c r="M190" s="125">
        <v>3752</v>
      </c>
      <c r="N190" s="125">
        <v>6874</v>
      </c>
      <c r="O190" s="125">
        <v>11659</v>
      </c>
      <c r="P190" s="125">
        <v>11459</v>
      </c>
      <c r="Q190" s="125">
        <v>4279</v>
      </c>
      <c r="R190" s="125">
        <v>3251</v>
      </c>
      <c r="S190" s="125">
        <v>8303</v>
      </c>
      <c r="T190" s="125">
        <v>8686</v>
      </c>
      <c r="U190" s="125">
        <v>2415</v>
      </c>
      <c r="V190" s="125">
        <v>2999</v>
      </c>
      <c r="W190" s="125">
        <v>2573</v>
      </c>
      <c r="X190" s="125">
        <v>1505</v>
      </c>
      <c r="Y190" s="125">
        <v>46173</v>
      </c>
      <c r="Z190" s="125">
        <v>46383</v>
      </c>
    </row>
    <row r="191" spans="2:26" x14ac:dyDescent="0.2">
      <c r="B191" s="125" t="s">
        <v>374</v>
      </c>
      <c r="C191" s="125">
        <f t="shared" si="12"/>
        <v>1611.1428571428571</v>
      </c>
      <c r="D191" s="125">
        <f t="shared" si="12"/>
        <v>1976.7142857142858</v>
      </c>
      <c r="E191" s="125">
        <f t="shared" si="13"/>
        <v>3262013.4400000004</v>
      </c>
      <c r="F191" s="125">
        <f t="shared" si="14"/>
        <v>6086695</v>
      </c>
      <c r="G191" s="125">
        <f t="shared" si="11"/>
        <v>87098000</v>
      </c>
      <c r="H191" s="125">
        <v>0</v>
      </c>
      <c r="I191" s="125">
        <v>87098</v>
      </c>
      <c r="J191" s="125">
        <v>0</v>
      </c>
      <c r="K191" s="125">
        <v>1140</v>
      </c>
      <c r="L191" s="125">
        <v>1109</v>
      </c>
      <c r="M191" s="125">
        <v>241</v>
      </c>
      <c r="N191" s="125">
        <v>1514</v>
      </c>
      <c r="O191" s="125">
        <v>136</v>
      </c>
      <c r="P191" s="125">
        <v>982</v>
      </c>
      <c r="Q191" s="125">
        <v>1145</v>
      </c>
      <c r="R191" s="125">
        <v>1050</v>
      </c>
      <c r="S191" s="125">
        <v>1383</v>
      </c>
      <c r="T191" s="125">
        <v>1523</v>
      </c>
      <c r="U191" s="125">
        <v>1989</v>
      </c>
      <c r="V191" s="125">
        <v>2143</v>
      </c>
      <c r="W191" s="125">
        <v>5244</v>
      </c>
      <c r="X191" s="125">
        <v>5516</v>
      </c>
      <c r="Y191" s="125">
        <v>22713</v>
      </c>
      <c r="Z191" s="125">
        <v>22754</v>
      </c>
    </row>
    <row r="192" spans="2:26" x14ac:dyDescent="0.2">
      <c r="B192" s="125" t="s">
        <v>248</v>
      </c>
      <c r="C192" s="125">
        <f t="shared" si="12"/>
        <v>8929.5714285714294</v>
      </c>
      <c r="D192" s="125">
        <f t="shared" si="12"/>
        <v>9969.8571428571431</v>
      </c>
      <c r="E192" s="125">
        <f t="shared" si="13"/>
        <v>4811448.3200000003</v>
      </c>
      <c r="F192" s="125">
        <f t="shared" si="14"/>
        <v>8977835</v>
      </c>
      <c r="G192" s="125">
        <f t="shared" si="11"/>
        <v>72624000</v>
      </c>
      <c r="H192" s="125">
        <v>115</v>
      </c>
      <c r="I192" s="125">
        <v>72168</v>
      </c>
      <c r="J192" s="125">
        <v>341</v>
      </c>
      <c r="K192" s="125">
        <v>19967</v>
      </c>
      <c r="L192" s="125">
        <v>24035</v>
      </c>
      <c r="M192" s="125">
        <v>15424</v>
      </c>
      <c r="N192" s="125">
        <v>17261</v>
      </c>
      <c r="O192" s="125">
        <v>6560</v>
      </c>
      <c r="P192" s="125">
        <v>7208</v>
      </c>
      <c r="Q192" s="125">
        <v>8401</v>
      </c>
      <c r="R192" s="125">
        <v>8546</v>
      </c>
      <c r="S192" s="125">
        <v>2992</v>
      </c>
      <c r="T192" s="125">
        <v>3240</v>
      </c>
      <c r="U192" s="125">
        <v>5577</v>
      </c>
      <c r="V192" s="125">
        <v>5740</v>
      </c>
      <c r="W192" s="125">
        <v>3586</v>
      </c>
      <c r="X192" s="125">
        <v>3759</v>
      </c>
      <c r="Y192" s="125">
        <v>33543</v>
      </c>
      <c r="Z192" s="125">
        <v>33562</v>
      </c>
    </row>
    <row r="193" spans="2:35" x14ac:dyDescent="0.2">
      <c r="B193" s="125" t="s">
        <v>451</v>
      </c>
      <c r="C193" s="125">
        <f t="shared" si="12"/>
        <v>7430.2857142857147</v>
      </c>
      <c r="D193" s="125">
        <f t="shared" si="12"/>
        <v>8340.7142857142862</v>
      </c>
      <c r="E193" s="125">
        <f t="shared" si="13"/>
        <v>3315343.3600000003</v>
      </c>
      <c r="F193" s="125">
        <f t="shared" si="14"/>
        <v>6186205</v>
      </c>
      <c r="G193" s="125">
        <f t="shared" si="11"/>
        <v>30364000</v>
      </c>
      <c r="H193" s="125">
        <v>24</v>
      </c>
      <c r="I193" s="125">
        <v>30143</v>
      </c>
      <c r="J193" s="125">
        <v>197</v>
      </c>
      <c r="K193" s="125">
        <v>7545</v>
      </c>
      <c r="L193" s="125">
        <v>8139</v>
      </c>
      <c r="M193" s="125">
        <v>4435</v>
      </c>
      <c r="N193" s="125">
        <v>5672</v>
      </c>
      <c r="O193" s="125">
        <v>4651</v>
      </c>
      <c r="P193" s="125">
        <v>8986</v>
      </c>
      <c r="Q193" s="125">
        <v>3209</v>
      </c>
      <c r="R193" s="125">
        <v>4583</v>
      </c>
      <c r="S193" s="125">
        <v>6689</v>
      </c>
      <c r="T193" s="125">
        <v>6883</v>
      </c>
      <c r="U193" s="125">
        <v>21877</v>
      </c>
      <c r="V193" s="125">
        <v>20424</v>
      </c>
      <c r="W193" s="125">
        <v>3606</v>
      </c>
      <c r="X193" s="125">
        <v>3698</v>
      </c>
      <c r="Y193" s="125">
        <v>23095</v>
      </c>
      <c r="Z193" s="125">
        <v>23126</v>
      </c>
    </row>
    <row r="194" spans="2:35" x14ac:dyDescent="0.2">
      <c r="B194" s="125" t="s">
        <v>286</v>
      </c>
      <c r="C194" s="125">
        <f t="shared" si="12"/>
        <v>414.14285714285717</v>
      </c>
      <c r="D194" s="125">
        <f t="shared" si="12"/>
        <v>213.57142857142858</v>
      </c>
      <c r="E194" s="125">
        <f t="shared" si="13"/>
        <v>2062376.9600000002</v>
      </c>
      <c r="F194" s="125">
        <f t="shared" si="14"/>
        <v>3848255</v>
      </c>
      <c r="G194" s="125">
        <f t="shared" si="11"/>
        <v>17169000</v>
      </c>
      <c r="H194" s="125">
        <v>0</v>
      </c>
      <c r="I194" s="125">
        <v>16091</v>
      </c>
      <c r="J194" s="125">
        <v>1078</v>
      </c>
      <c r="K194" s="125">
        <v>2899</v>
      </c>
      <c r="L194" s="125">
        <v>1495</v>
      </c>
      <c r="M194" s="125">
        <v>0</v>
      </c>
      <c r="N194" s="125">
        <v>0</v>
      </c>
      <c r="O194" s="125">
        <v>0</v>
      </c>
      <c r="P194" s="125">
        <v>0</v>
      </c>
      <c r="Q194" s="125">
        <v>0</v>
      </c>
      <c r="R194" s="125">
        <v>0</v>
      </c>
      <c r="S194" s="125">
        <v>0</v>
      </c>
      <c r="T194" s="125">
        <v>0</v>
      </c>
      <c r="U194" s="125">
        <v>0</v>
      </c>
      <c r="V194" s="125">
        <v>0</v>
      </c>
      <c r="W194" s="125">
        <v>0</v>
      </c>
      <c r="X194" s="125">
        <v>0</v>
      </c>
      <c r="Y194" s="125">
        <v>14207</v>
      </c>
      <c r="Z194" s="125">
        <v>14386</v>
      </c>
    </row>
    <row r="195" spans="2:35" x14ac:dyDescent="0.2">
      <c r="B195" s="125" t="s">
        <v>167</v>
      </c>
      <c r="C195" s="125">
        <f t="shared" si="12"/>
        <v>1539</v>
      </c>
      <c r="D195" s="125">
        <f t="shared" si="12"/>
        <v>1972.7142857142858</v>
      </c>
      <c r="E195" s="125">
        <f t="shared" si="13"/>
        <v>1395322.8800000001</v>
      </c>
      <c r="F195" s="125">
        <f t="shared" si="14"/>
        <v>2603577.5</v>
      </c>
      <c r="G195" s="125">
        <f t="shared" ref="G195:G258" si="15">SUM(H195:J195)*1000</f>
        <v>24608000</v>
      </c>
      <c r="H195" s="125">
        <v>23</v>
      </c>
      <c r="I195" s="125">
        <v>24417</v>
      </c>
      <c r="J195" s="125">
        <v>168</v>
      </c>
      <c r="K195" s="125">
        <v>1910</v>
      </c>
      <c r="L195" s="125">
        <v>2116</v>
      </c>
      <c r="M195" s="125">
        <v>1054</v>
      </c>
      <c r="N195" s="125">
        <v>2295</v>
      </c>
      <c r="O195" s="125">
        <v>1390</v>
      </c>
      <c r="P195" s="125">
        <v>1847</v>
      </c>
      <c r="Q195" s="125">
        <v>1040</v>
      </c>
      <c r="R195" s="125">
        <v>1177</v>
      </c>
      <c r="S195" s="125">
        <v>2348</v>
      </c>
      <c r="T195" s="125">
        <v>2515</v>
      </c>
      <c r="U195" s="125">
        <v>2167</v>
      </c>
      <c r="V195" s="125">
        <v>2597</v>
      </c>
      <c r="W195" s="125">
        <v>864</v>
      </c>
      <c r="X195" s="125">
        <v>1262</v>
      </c>
      <c r="Y195" s="125">
        <v>9915</v>
      </c>
      <c r="Z195" s="125">
        <v>9733</v>
      </c>
    </row>
    <row r="196" spans="2:35" x14ac:dyDescent="0.2">
      <c r="B196" s="125" t="s">
        <v>210</v>
      </c>
      <c r="C196" s="125">
        <f t="shared" si="12"/>
        <v>3110.1428571428573</v>
      </c>
      <c r="D196" s="125">
        <f t="shared" si="12"/>
        <v>3985</v>
      </c>
      <c r="E196" s="125">
        <f t="shared" si="13"/>
        <v>3232481.2800000003</v>
      </c>
      <c r="F196" s="125">
        <f t="shared" si="14"/>
        <v>6031590</v>
      </c>
      <c r="G196" s="125">
        <f t="shared" si="15"/>
        <v>38126000</v>
      </c>
      <c r="H196" s="125">
        <v>6</v>
      </c>
      <c r="I196" s="125">
        <v>38003</v>
      </c>
      <c r="J196" s="125">
        <v>117</v>
      </c>
      <c r="K196" s="125">
        <v>3794</v>
      </c>
      <c r="L196" s="125">
        <v>3627</v>
      </c>
      <c r="M196" s="125">
        <v>3998</v>
      </c>
      <c r="N196" s="125">
        <v>9334</v>
      </c>
      <c r="O196" s="125">
        <v>2852</v>
      </c>
      <c r="P196" s="125">
        <v>2920</v>
      </c>
      <c r="Q196" s="125">
        <v>2342</v>
      </c>
      <c r="R196" s="125">
        <v>2897</v>
      </c>
      <c r="S196" s="125">
        <v>2432</v>
      </c>
      <c r="T196" s="125">
        <v>2804</v>
      </c>
      <c r="U196" s="125">
        <v>4360</v>
      </c>
      <c r="V196" s="125">
        <v>4325</v>
      </c>
      <c r="W196" s="125">
        <v>1993</v>
      </c>
      <c r="X196" s="125">
        <v>1988</v>
      </c>
      <c r="Y196" s="125">
        <v>22480</v>
      </c>
      <c r="Z196" s="125">
        <v>22548</v>
      </c>
    </row>
    <row r="197" spans="2:35" x14ac:dyDescent="0.2">
      <c r="B197" s="125" t="s">
        <v>249</v>
      </c>
      <c r="C197" s="125">
        <f t="shared" si="12"/>
        <v>3657.1428571428573</v>
      </c>
      <c r="D197" s="125">
        <f t="shared" si="12"/>
        <v>4130.5714285714284</v>
      </c>
      <c r="E197" s="125">
        <f t="shared" si="13"/>
        <v>3487518.7200000002</v>
      </c>
      <c r="F197" s="125">
        <f t="shared" si="14"/>
        <v>6507472.5</v>
      </c>
      <c r="G197" s="125">
        <f t="shared" si="15"/>
        <v>44603000</v>
      </c>
      <c r="H197" s="125">
        <v>662</v>
      </c>
      <c r="I197" s="125">
        <v>43941</v>
      </c>
      <c r="J197" s="125">
        <v>0</v>
      </c>
      <c r="K197" s="125">
        <v>5381</v>
      </c>
      <c r="L197" s="125">
        <v>6019</v>
      </c>
      <c r="M197" s="125">
        <v>3553</v>
      </c>
      <c r="N197" s="125">
        <v>5965</v>
      </c>
      <c r="O197" s="125">
        <v>2054</v>
      </c>
      <c r="P197" s="125">
        <v>3147</v>
      </c>
      <c r="Q197" s="125">
        <v>3249</v>
      </c>
      <c r="R197" s="125">
        <v>2891</v>
      </c>
      <c r="S197" s="125">
        <v>6139</v>
      </c>
      <c r="T197" s="125">
        <v>6362</v>
      </c>
      <c r="U197" s="125">
        <v>2346</v>
      </c>
      <c r="V197" s="125">
        <v>2573</v>
      </c>
      <c r="W197" s="125">
        <v>2878</v>
      </c>
      <c r="X197" s="125">
        <v>1957</v>
      </c>
      <c r="Y197" s="125">
        <v>24254</v>
      </c>
      <c r="Z197" s="125">
        <v>24327</v>
      </c>
    </row>
    <row r="198" spans="2:35" x14ac:dyDescent="0.2">
      <c r="B198" s="125" t="s">
        <v>491</v>
      </c>
      <c r="C198" s="125">
        <f t="shared" si="12"/>
        <v>2308.5714285714284</v>
      </c>
      <c r="D198" s="125">
        <f t="shared" si="12"/>
        <v>2851.5714285714284</v>
      </c>
      <c r="E198" s="125">
        <f t="shared" si="13"/>
        <v>3398492.1600000001</v>
      </c>
      <c r="F198" s="125">
        <f t="shared" si="14"/>
        <v>6341355</v>
      </c>
      <c r="G198" s="125">
        <f t="shared" si="15"/>
        <v>62639000</v>
      </c>
      <c r="H198" s="125">
        <v>65</v>
      </c>
      <c r="I198" s="125">
        <v>56790</v>
      </c>
      <c r="J198" s="125">
        <v>5784</v>
      </c>
      <c r="K198" s="125">
        <v>732</v>
      </c>
      <c r="L198" s="125">
        <v>1227</v>
      </c>
      <c r="M198" s="125">
        <v>3948</v>
      </c>
      <c r="N198" s="125">
        <v>2941</v>
      </c>
      <c r="O198" s="125">
        <v>2635</v>
      </c>
      <c r="P198" s="125">
        <v>2725</v>
      </c>
      <c r="Q198" s="125">
        <v>1090</v>
      </c>
      <c r="R198" s="125">
        <v>3254</v>
      </c>
      <c r="S198" s="125">
        <v>1449</v>
      </c>
      <c r="T198" s="125">
        <v>1993</v>
      </c>
      <c r="U198" s="125">
        <v>1773</v>
      </c>
      <c r="V198" s="125">
        <v>3138</v>
      </c>
      <c r="W198" s="125">
        <v>4533</v>
      </c>
      <c r="X198" s="125">
        <v>4683</v>
      </c>
      <c r="Y198" s="125">
        <v>23773</v>
      </c>
      <c r="Z198" s="125">
        <v>23706</v>
      </c>
    </row>
    <row r="199" spans="2:35" x14ac:dyDescent="0.2">
      <c r="B199" s="125" t="s">
        <v>375</v>
      </c>
      <c r="C199" s="125">
        <f t="shared" si="12"/>
        <v>5135.8571428571431</v>
      </c>
      <c r="D199" s="125">
        <f t="shared" si="12"/>
        <v>5875.7142857142853</v>
      </c>
      <c r="E199" s="125">
        <f t="shared" si="13"/>
        <v>4661350.4000000004</v>
      </c>
      <c r="F199" s="125">
        <f t="shared" si="14"/>
        <v>8697762.5</v>
      </c>
      <c r="G199" s="125">
        <f t="shared" si="15"/>
        <v>80399000</v>
      </c>
      <c r="H199" s="125">
        <v>241</v>
      </c>
      <c r="I199" s="125">
        <v>76951</v>
      </c>
      <c r="J199" s="125">
        <v>3207</v>
      </c>
      <c r="K199" s="125">
        <v>5013</v>
      </c>
      <c r="L199" s="125">
        <v>5039</v>
      </c>
      <c r="M199" s="125">
        <v>2902</v>
      </c>
      <c r="N199" s="125">
        <v>3469</v>
      </c>
      <c r="O199" s="125">
        <v>10823</v>
      </c>
      <c r="P199" s="125">
        <v>12443</v>
      </c>
      <c r="Q199" s="125">
        <v>6435</v>
      </c>
      <c r="R199" s="125">
        <v>8919</v>
      </c>
      <c r="S199" s="125">
        <v>3797</v>
      </c>
      <c r="T199" s="125">
        <v>4161</v>
      </c>
      <c r="U199" s="125">
        <v>4188</v>
      </c>
      <c r="V199" s="125">
        <v>4636</v>
      </c>
      <c r="W199" s="125">
        <v>2793</v>
      </c>
      <c r="X199" s="125">
        <v>2463</v>
      </c>
      <c r="Y199" s="125">
        <v>32443</v>
      </c>
      <c r="Z199" s="125">
        <v>32515</v>
      </c>
    </row>
    <row r="200" spans="2:35" x14ac:dyDescent="0.2">
      <c r="B200" s="125" t="s">
        <v>492</v>
      </c>
      <c r="C200" s="125">
        <f t="shared" si="12"/>
        <v>43870.285714285717</v>
      </c>
      <c r="D200" s="125">
        <f t="shared" si="12"/>
        <v>44380</v>
      </c>
      <c r="E200" s="125">
        <f t="shared" si="13"/>
        <v>17592565.760000002</v>
      </c>
      <c r="F200" s="125">
        <f t="shared" si="14"/>
        <v>32826530</v>
      </c>
      <c r="G200" s="125">
        <f t="shared" si="15"/>
        <v>379088000</v>
      </c>
      <c r="H200" s="125">
        <v>10004</v>
      </c>
      <c r="I200" s="125">
        <v>367726</v>
      </c>
      <c r="J200" s="125">
        <v>1358</v>
      </c>
      <c r="K200" s="125">
        <v>65194</v>
      </c>
      <c r="L200" s="125">
        <v>65200</v>
      </c>
      <c r="M200" s="125">
        <v>4253</v>
      </c>
      <c r="N200" s="125">
        <v>4252</v>
      </c>
      <c r="O200" s="125">
        <v>26611</v>
      </c>
      <c r="P200" s="125">
        <v>26610</v>
      </c>
      <c r="Q200" s="125">
        <v>61762</v>
      </c>
      <c r="R200" s="125">
        <v>65322</v>
      </c>
      <c r="S200" s="125">
        <v>112918</v>
      </c>
      <c r="T200" s="125">
        <v>112920</v>
      </c>
      <c r="U200" s="125">
        <v>15402</v>
      </c>
      <c r="V200" s="125">
        <v>15403</v>
      </c>
      <c r="W200" s="125">
        <v>20952</v>
      </c>
      <c r="X200" s="125">
        <v>20953</v>
      </c>
      <c r="Y200" s="125">
        <v>122798</v>
      </c>
      <c r="Z200" s="125">
        <v>122716</v>
      </c>
      <c r="AH200" s="259"/>
      <c r="AI200" s="259"/>
    </row>
    <row r="201" spans="2:35" x14ac:dyDescent="0.2">
      <c r="B201" s="125" t="s">
        <v>168</v>
      </c>
      <c r="C201" s="125">
        <f t="shared" si="12"/>
        <v>1185.7142857142858</v>
      </c>
      <c r="D201" s="125">
        <f t="shared" si="12"/>
        <v>1098.8571428571429</v>
      </c>
      <c r="E201" s="125">
        <f t="shared" si="13"/>
        <v>1503846.4000000001</v>
      </c>
      <c r="F201" s="125">
        <f t="shared" si="14"/>
        <v>2806075</v>
      </c>
      <c r="G201" s="125">
        <f t="shared" si="15"/>
        <v>23171000</v>
      </c>
      <c r="H201" s="125">
        <v>3663</v>
      </c>
      <c r="I201" s="125">
        <v>19251</v>
      </c>
      <c r="J201" s="125">
        <v>257</v>
      </c>
      <c r="K201" s="125">
        <v>974</v>
      </c>
      <c r="L201" s="125">
        <v>790</v>
      </c>
      <c r="M201" s="125">
        <v>1113</v>
      </c>
      <c r="N201" s="125">
        <v>996</v>
      </c>
      <c r="O201" s="125">
        <v>1022</v>
      </c>
      <c r="P201" s="125">
        <v>1564</v>
      </c>
      <c r="Q201" s="125">
        <v>468</v>
      </c>
      <c r="R201" s="125">
        <v>461</v>
      </c>
      <c r="S201" s="125">
        <v>1017</v>
      </c>
      <c r="T201" s="125">
        <v>1023</v>
      </c>
      <c r="U201" s="125">
        <v>1275</v>
      </c>
      <c r="V201" s="125">
        <v>836</v>
      </c>
      <c r="W201" s="125">
        <v>2431</v>
      </c>
      <c r="X201" s="125">
        <v>2022</v>
      </c>
      <c r="Y201" s="125">
        <v>10394</v>
      </c>
      <c r="Z201" s="125">
        <v>10490</v>
      </c>
    </row>
    <row r="202" spans="2:35" x14ac:dyDescent="0.2">
      <c r="B202" s="125" t="s">
        <v>329</v>
      </c>
      <c r="C202" s="125">
        <f t="shared" si="12"/>
        <v>7067</v>
      </c>
      <c r="D202" s="125">
        <f t="shared" si="12"/>
        <v>6480.8571428571431</v>
      </c>
      <c r="E202" s="125">
        <f t="shared" si="13"/>
        <v>6376509.4400000004</v>
      </c>
      <c r="F202" s="125">
        <f t="shared" si="14"/>
        <v>11898132.5</v>
      </c>
      <c r="G202" s="125">
        <f t="shared" si="15"/>
        <v>74387000</v>
      </c>
      <c r="H202" s="125">
        <v>829</v>
      </c>
      <c r="I202" s="125">
        <v>73286</v>
      </c>
      <c r="J202" s="125">
        <v>272</v>
      </c>
      <c r="K202" s="125">
        <v>6410</v>
      </c>
      <c r="L202" s="125">
        <v>4184</v>
      </c>
      <c r="M202" s="125">
        <v>10304</v>
      </c>
      <c r="N202" s="125">
        <v>10614</v>
      </c>
      <c r="O202" s="125">
        <v>5961</v>
      </c>
      <c r="P202" s="125">
        <v>8495</v>
      </c>
      <c r="Q202" s="125">
        <v>6155</v>
      </c>
      <c r="R202" s="125">
        <v>4598</v>
      </c>
      <c r="S202" s="125">
        <v>6056</v>
      </c>
      <c r="T202" s="125">
        <v>4690</v>
      </c>
      <c r="U202" s="125">
        <v>8464</v>
      </c>
      <c r="V202" s="125">
        <v>6365</v>
      </c>
      <c r="W202" s="125">
        <v>6119</v>
      </c>
      <c r="X202" s="125">
        <v>6420</v>
      </c>
      <c r="Y202" s="125">
        <v>44058</v>
      </c>
      <c r="Z202" s="125">
        <v>44479</v>
      </c>
    </row>
    <row r="203" spans="2:35" x14ac:dyDescent="0.2">
      <c r="B203" s="125" t="s">
        <v>493</v>
      </c>
      <c r="C203" s="125">
        <f t="shared" si="12"/>
        <v>870.57142857142856</v>
      </c>
      <c r="D203" s="125">
        <f t="shared" si="12"/>
        <v>925.14285714285711</v>
      </c>
      <c r="E203" s="125">
        <f t="shared" si="13"/>
        <v>2729144.3200000003</v>
      </c>
      <c r="F203" s="125">
        <f t="shared" si="14"/>
        <v>5092397.5</v>
      </c>
      <c r="G203" s="125">
        <f t="shared" si="15"/>
        <v>43990000</v>
      </c>
      <c r="H203" s="125">
        <v>48</v>
      </c>
      <c r="I203" s="125">
        <v>42244</v>
      </c>
      <c r="J203" s="125">
        <v>1698</v>
      </c>
      <c r="K203" s="125">
        <v>1195</v>
      </c>
      <c r="L203" s="125">
        <v>1328</v>
      </c>
      <c r="M203" s="125">
        <v>1276</v>
      </c>
      <c r="N203" s="125">
        <v>1441</v>
      </c>
      <c r="O203" s="125">
        <v>712</v>
      </c>
      <c r="P203" s="125">
        <v>604</v>
      </c>
      <c r="Q203" s="125">
        <v>1102</v>
      </c>
      <c r="R203" s="125">
        <v>1436</v>
      </c>
      <c r="S203" s="125">
        <v>617</v>
      </c>
      <c r="T203" s="125">
        <v>434</v>
      </c>
      <c r="U203" s="125">
        <v>735</v>
      </c>
      <c r="V203" s="125">
        <v>894</v>
      </c>
      <c r="W203" s="125">
        <v>457</v>
      </c>
      <c r="X203" s="125">
        <v>339</v>
      </c>
      <c r="Y203" s="125">
        <v>19068</v>
      </c>
      <c r="Z203" s="125">
        <v>19037</v>
      </c>
    </row>
    <row r="204" spans="2:35" x14ac:dyDescent="0.2">
      <c r="B204" s="125" t="s">
        <v>713</v>
      </c>
      <c r="C204" s="125">
        <f t="shared" si="12"/>
        <v>26329.571428571428</v>
      </c>
      <c r="D204" s="125">
        <f t="shared" si="12"/>
        <v>34711.142857142855</v>
      </c>
      <c r="E204" s="125">
        <f t="shared" si="13"/>
        <v>11493744.640000001</v>
      </c>
      <c r="F204" s="125">
        <f t="shared" si="14"/>
        <v>21446545</v>
      </c>
      <c r="G204" s="125">
        <f t="shared" si="15"/>
        <v>185788000</v>
      </c>
      <c r="H204" s="125">
        <v>223</v>
      </c>
      <c r="I204" s="125">
        <v>183727</v>
      </c>
      <c r="J204" s="125">
        <v>1838</v>
      </c>
      <c r="K204" s="125">
        <v>40561</v>
      </c>
      <c r="L204" s="125">
        <v>39904</v>
      </c>
      <c r="M204" s="125">
        <v>30575</v>
      </c>
      <c r="N204" s="125">
        <v>31278</v>
      </c>
      <c r="O204" s="125">
        <v>17059</v>
      </c>
      <c r="P204" s="125">
        <v>26530</v>
      </c>
      <c r="Q204" s="125">
        <v>38402</v>
      </c>
      <c r="R204" s="125">
        <v>38863</v>
      </c>
      <c r="S204" s="125">
        <v>18678</v>
      </c>
      <c r="T204" s="125">
        <v>55622</v>
      </c>
      <c r="U204" s="125">
        <v>18380</v>
      </c>
      <c r="V204" s="125">
        <v>16448</v>
      </c>
      <c r="W204" s="125">
        <v>20652</v>
      </c>
      <c r="X204" s="125">
        <v>34333</v>
      </c>
      <c r="Y204" s="125">
        <v>79835</v>
      </c>
      <c r="Z204" s="125">
        <v>80174</v>
      </c>
    </row>
    <row r="205" spans="2:35" x14ac:dyDescent="0.2">
      <c r="B205" s="125" t="s">
        <v>149</v>
      </c>
      <c r="C205" s="125">
        <f t="shared" si="12"/>
        <v>7618.5714285714284</v>
      </c>
      <c r="D205" s="125">
        <f t="shared" si="12"/>
        <v>11087.714285714286</v>
      </c>
      <c r="E205" s="125">
        <f t="shared" si="13"/>
        <v>4790947.8400000008</v>
      </c>
      <c r="F205" s="125">
        <f t="shared" si="14"/>
        <v>8939582.5</v>
      </c>
      <c r="G205" s="125">
        <f t="shared" si="15"/>
        <v>103583000</v>
      </c>
      <c r="H205" s="125">
        <v>976</v>
      </c>
      <c r="I205" s="125">
        <v>102187</v>
      </c>
      <c r="J205" s="125">
        <v>420</v>
      </c>
      <c r="K205" s="125">
        <v>12571</v>
      </c>
      <c r="L205" s="125">
        <v>16483</v>
      </c>
      <c r="M205" s="125">
        <v>8240</v>
      </c>
      <c r="N205" s="125">
        <v>11623</v>
      </c>
      <c r="O205" s="125">
        <v>11561</v>
      </c>
      <c r="P205" s="125">
        <v>27455</v>
      </c>
      <c r="Q205" s="125">
        <v>4061</v>
      </c>
      <c r="R205" s="125">
        <v>4363</v>
      </c>
      <c r="S205" s="125">
        <v>5078</v>
      </c>
      <c r="T205" s="125">
        <v>4816</v>
      </c>
      <c r="U205" s="125">
        <v>4155</v>
      </c>
      <c r="V205" s="125">
        <v>4698</v>
      </c>
      <c r="W205" s="125">
        <v>7664</v>
      </c>
      <c r="X205" s="125">
        <v>8176</v>
      </c>
      <c r="Y205" s="125">
        <v>33016</v>
      </c>
      <c r="Z205" s="125">
        <v>33419</v>
      </c>
    </row>
    <row r="206" spans="2:35" x14ac:dyDescent="0.2">
      <c r="B206" s="125" t="s">
        <v>407</v>
      </c>
      <c r="C206" s="125">
        <f t="shared" si="12"/>
        <v>16888.142857142859</v>
      </c>
      <c r="D206" s="125">
        <f t="shared" si="12"/>
        <v>19983.142857142859</v>
      </c>
      <c r="E206" s="125">
        <f t="shared" si="13"/>
        <v>6924718.080000001</v>
      </c>
      <c r="F206" s="125">
        <f t="shared" si="14"/>
        <v>12921052.5</v>
      </c>
      <c r="G206" s="125">
        <f t="shared" si="15"/>
        <v>167772000</v>
      </c>
      <c r="H206" s="125">
        <v>952</v>
      </c>
      <c r="I206" s="125">
        <v>166820</v>
      </c>
      <c r="J206" s="125">
        <v>0</v>
      </c>
      <c r="K206" s="125">
        <v>16564</v>
      </c>
      <c r="L206" s="125">
        <v>18524</v>
      </c>
      <c r="M206" s="125">
        <v>18442</v>
      </c>
      <c r="N206" s="125">
        <v>19309</v>
      </c>
      <c r="O206" s="125">
        <v>31249</v>
      </c>
      <c r="P206" s="125">
        <v>41305</v>
      </c>
      <c r="Q206" s="125">
        <v>10056</v>
      </c>
      <c r="R206" s="125">
        <v>14301</v>
      </c>
      <c r="S206" s="125">
        <v>10967</v>
      </c>
      <c r="T206" s="125">
        <v>11958</v>
      </c>
      <c r="U206" s="125">
        <v>9236</v>
      </c>
      <c r="V206" s="125">
        <v>9081</v>
      </c>
      <c r="W206" s="125">
        <v>21703</v>
      </c>
      <c r="X206" s="125">
        <v>25404</v>
      </c>
      <c r="Y206" s="125">
        <v>48025</v>
      </c>
      <c r="Z206" s="125">
        <v>48303</v>
      </c>
    </row>
    <row r="207" spans="2:35" x14ac:dyDescent="0.2">
      <c r="B207" s="125" t="s">
        <v>376</v>
      </c>
      <c r="C207" s="125">
        <f t="shared" si="12"/>
        <v>8680.4285714285706</v>
      </c>
      <c r="D207" s="125">
        <f t="shared" si="12"/>
        <v>10688</v>
      </c>
      <c r="E207" s="125">
        <f t="shared" si="13"/>
        <v>2772152.3200000003</v>
      </c>
      <c r="F207" s="125">
        <f t="shared" si="14"/>
        <v>5172647.5</v>
      </c>
      <c r="G207" s="125">
        <f t="shared" si="15"/>
        <v>54660000</v>
      </c>
      <c r="H207" s="125">
        <v>1</v>
      </c>
      <c r="I207" s="125">
        <v>53162</v>
      </c>
      <c r="J207" s="125">
        <v>1497</v>
      </c>
      <c r="K207" s="125">
        <v>14357</v>
      </c>
      <c r="L207" s="125">
        <v>14673</v>
      </c>
      <c r="M207" s="125">
        <v>15943</v>
      </c>
      <c r="N207" s="125">
        <v>17488</v>
      </c>
      <c r="O207" s="125">
        <v>2649</v>
      </c>
      <c r="P207" s="125">
        <v>7889</v>
      </c>
      <c r="Q207" s="125">
        <v>14484</v>
      </c>
      <c r="R207" s="125">
        <v>14680</v>
      </c>
      <c r="S207" s="125">
        <v>4912</v>
      </c>
      <c r="T207" s="125">
        <v>10538</v>
      </c>
      <c r="U207" s="125">
        <v>3144</v>
      </c>
      <c r="V207" s="125">
        <v>3982</v>
      </c>
      <c r="W207" s="125">
        <v>5274</v>
      </c>
      <c r="X207" s="125">
        <v>5566</v>
      </c>
      <c r="Y207" s="125">
        <v>19034</v>
      </c>
      <c r="Z207" s="125">
        <v>19337</v>
      </c>
    </row>
    <row r="208" spans="2:35" x14ac:dyDescent="0.2">
      <c r="B208" s="125" t="s">
        <v>150</v>
      </c>
      <c r="C208" s="125">
        <f t="shared" si="12"/>
        <v>2275.7142857142858</v>
      </c>
      <c r="D208" s="125">
        <f t="shared" si="12"/>
        <v>2483.2857142857142</v>
      </c>
      <c r="E208" s="125">
        <f t="shared" si="13"/>
        <v>4754821.1200000001</v>
      </c>
      <c r="F208" s="125">
        <f t="shared" si="14"/>
        <v>8872172.5</v>
      </c>
      <c r="G208" s="125">
        <f t="shared" si="15"/>
        <v>55404000</v>
      </c>
      <c r="H208" s="125">
        <v>25</v>
      </c>
      <c r="I208" s="125">
        <v>55235</v>
      </c>
      <c r="J208" s="125">
        <v>144</v>
      </c>
      <c r="K208" s="125">
        <v>2343</v>
      </c>
      <c r="L208" s="125">
        <v>1642</v>
      </c>
      <c r="M208" s="125">
        <v>2851</v>
      </c>
      <c r="N208" s="125">
        <v>2517</v>
      </c>
      <c r="O208" s="125">
        <v>3269</v>
      </c>
      <c r="P208" s="125">
        <v>4996</v>
      </c>
      <c r="Q208" s="125">
        <v>1449</v>
      </c>
      <c r="R208" s="125">
        <v>1985</v>
      </c>
      <c r="S208" s="125">
        <v>1966</v>
      </c>
      <c r="T208" s="125">
        <v>2008</v>
      </c>
      <c r="U208" s="125">
        <v>2855</v>
      </c>
      <c r="V208" s="125">
        <v>2860</v>
      </c>
      <c r="W208" s="125">
        <v>1197</v>
      </c>
      <c r="X208" s="125">
        <v>1375</v>
      </c>
      <c r="Y208" s="125">
        <v>33411</v>
      </c>
      <c r="Z208" s="125">
        <v>33167</v>
      </c>
    </row>
    <row r="209" spans="2:26" x14ac:dyDescent="0.2">
      <c r="B209" s="125" t="s">
        <v>819</v>
      </c>
      <c r="C209" s="125">
        <v>9119.2857142857138</v>
      </c>
      <c r="D209" s="125">
        <v>12314.714285714284</v>
      </c>
      <c r="E209" s="125">
        <v>8738652.160000002</v>
      </c>
      <c r="F209" s="125">
        <v>16305730</v>
      </c>
      <c r="G209" s="125">
        <f t="shared" si="15"/>
        <v>139695000</v>
      </c>
      <c r="H209" s="125">
        <v>1327</v>
      </c>
      <c r="I209" s="125">
        <v>134255</v>
      </c>
      <c r="J209" s="125">
        <v>4113</v>
      </c>
      <c r="K209" s="125">
        <v>12475</v>
      </c>
      <c r="L209" s="125">
        <v>17573</v>
      </c>
      <c r="M209" s="125">
        <v>9447</v>
      </c>
      <c r="N209" s="125">
        <v>12019</v>
      </c>
      <c r="O209" s="125">
        <v>5037</v>
      </c>
      <c r="P209" s="125">
        <v>8296</v>
      </c>
      <c r="Q209" s="125">
        <v>7684</v>
      </c>
      <c r="R209" s="125">
        <v>9268</v>
      </c>
      <c r="S209" s="125">
        <v>19164</v>
      </c>
      <c r="T209" s="125">
        <v>23141</v>
      </c>
      <c r="U209" s="125">
        <v>6960</v>
      </c>
      <c r="V209" s="125">
        <v>7565</v>
      </c>
      <c r="W209" s="125">
        <v>3068</v>
      </c>
      <c r="X209" s="125">
        <v>8341</v>
      </c>
      <c r="Y209" s="125">
        <v>62168</v>
      </c>
      <c r="Z209" s="125">
        <v>60956</v>
      </c>
    </row>
    <row r="210" spans="2:26" x14ac:dyDescent="0.2">
      <c r="B210" s="125" t="s">
        <v>452</v>
      </c>
      <c r="C210" s="125">
        <f t="shared" si="12"/>
        <v>560.28571428571433</v>
      </c>
      <c r="D210" s="125">
        <f t="shared" si="12"/>
        <v>370.14285714285717</v>
      </c>
      <c r="E210" s="125">
        <f t="shared" si="13"/>
        <v>1552302.0800000001</v>
      </c>
      <c r="F210" s="125">
        <f t="shared" si="14"/>
        <v>2896490</v>
      </c>
      <c r="G210" s="125">
        <f t="shared" si="15"/>
        <v>28100000</v>
      </c>
      <c r="H210" s="125">
        <v>285</v>
      </c>
      <c r="I210" s="125">
        <v>27747</v>
      </c>
      <c r="J210" s="125">
        <v>68</v>
      </c>
      <c r="K210" s="125">
        <v>1258</v>
      </c>
      <c r="L210" s="125">
        <v>621</v>
      </c>
      <c r="M210" s="125">
        <v>539</v>
      </c>
      <c r="N210" s="125">
        <v>374</v>
      </c>
      <c r="O210" s="125">
        <v>1234</v>
      </c>
      <c r="P210" s="125">
        <v>1098</v>
      </c>
      <c r="Q210" s="125">
        <v>891</v>
      </c>
      <c r="R210" s="125">
        <v>803</v>
      </c>
      <c r="S210" s="125">
        <v>0</v>
      </c>
      <c r="T210" s="125">
        <v>133</v>
      </c>
      <c r="U210" s="125">
        <v>0</v>
      </c>
      <c r="V210" s="125">
        <v>-248</v>
      </c>
      <c r="W210" s="125">
        <v>0</v>
      </c>
      <c r="X210" s="125">
        <v>-190</v>
      </c>
      <c r="Y210" s="125">
        <v>10807</v>
      </c>
      <c r="Z210" s="125">
        <v>10828</v>
      </c>
    </row>
    <row r="211" spans="2:26" x14ac:dyDescent="0.2">
      <c r="B211" s="125" t="s">
        <v>453</v>
      </c>
      <c r="C211" s="125">
        <f t="shared" si="12"/>
        <v>7722.4285714285716</v>
      </c>
      <c r="D211" s="125">
        <f t="shared" si="12"/>
        <v>8956.4285714285706</v>
      </c>
      <c r="E211" s="125">
        <f t="shared" si="13"/>
        <v>5299445.7600000007</v>
      </c>
      <c r="F211" s="125">
        <f t="shared" si="14"/>
        <v>9888405</v>
      </c>
      <c r="G211" s="125">
        <f t="shared" si="15"/>
        <v>63133000</v>
      </c>
      <c r="H211" s="125">
        <v>589</v>
      </c>
      <c r="I211" s="125">
        <v>62304</v>
      </c>
      <c r="J211" s="125">
        <v>240</v>
      </c>
      <c r="K211" s="125">
        <v>16544</v>
      </c>
      <c r="L211" s="125">
        <v>17371</v>
      </c>
      <c r="M211" s="125">
        <v>7314</v>
      </c>
      <c r="N211" s="125">
        <v>5657</v>
      </c>
      <c r="O211" s="125">
        <v>13804</v>
      </c>
      <c r="P211" s="125">
        <v>13907</v>
      </c>
      <c r="Q211" s="125">
        <v>3717</v>
      </c>
      <c r="R211" s="125">
        <v>4811</v>
      </c>
      <c r="S211" s="125">
        <v>1552</v>
      </c>
      <c r="T211" s="125">
        <v>3287</v>
      </c>
      <c r="U211" s="125">
        <v>3622</v>
      </c>
      <c r="V211" s="125">
        <v>10234</v>
      </c>
      <c r="W211" s="125">
        <v>7504</v>
      </c>
      <c r="X211" s="125">
        <v>7428</v>
      </c>
      <c r="Y211" s="125">
        <v>36945</v>
      </c>
      <c r="Z211" s="125">
        <v>36966</v>
      </c>
    </row>
    <row r="212" spans="2:26" x14ac:dyDescent="0.2">
      <c r="B212" s="125" t="s">
        <v>377</v>
      </c>
      <c r="C212" s="125">
        <f t="shared" si="12"/>
        <v>8024.2857142857147</v>
      </c>
      <c r="D212" s="125">
        <f t="shared" si="12"/>
        <v>7872.7142857142853</v>
      </c>
      <c r="E212" s="125">
        <f t="shared" si="13"/>
        <v>4200878.0800000001</v>
      </c>
      <c r="F212" s="125">
        <f t="shared" si="14"/>
        <v>7838552.5</v>
      </c>
      <c r="G212" s="125">
        <f t="shared" si="15"/>
        <v>75854000</v>
      </c>
      <c r="H212" s="125">
        <v>859</v>
      </c>
      <c r="I212" s="125">
        <v>73427</v>
      </c>
      <c r="J212" s="125">
        <v>1568</v>
      </c>
      <c r="K212" s="125">
        <v>7793</v>
      </c>
      <c r="L212" s="125">
        <v>7982</v>
      </c>
      <c r="M212" s="125">
        <v>12666</v>
      </c>
      <c r="N212" s="125">
        <v>10344</v>
      </c>
      <c r="O212" s="125">
        <v>6299</v>
      </c>
      <c r="P212" s="125">
        <v>5895</v>
      </c>
      <c r="Q212" s="125">
        <v>6243</v>
      </c>
      <c r="R212" s="125">
        <v>8834</v>
      </c>
      <c r="S212" s="125">
        <v>6968</v>
      </c>
      <c r="T212" s="125">
        <v>8246</v>
      </c>
      <c r="U212" s="125">
        <v>7616</v>
      </c>
      <c r="V212" s="125">
        <v>6113</v>
      </c>
      <c r="W212" s="125">
        <v>8585</v>
      </c>
      <c r="X212" s="125">
        <v>7695</v>
      </c>
      <c r="Y212" s="125">
        <v>29206</v>
      </c>
      <c r="Z212" s="125">
        <v>29303</v>
      </c>
    </row>
    <row r="213" spans="2:26" x14ac:dyDescent="0.2">
      <c r="B213" s="125" t="s">
        <v>250</v>
      </c>
      <c r="C213" s="125">
        <f t="shared" si="12"/>
        <v>9413.4285714285706</v>
      </c>
      <c r="D213" s="125">
        <f t="shared" si="12"/>
        <v>9490.8571428571431</v>
      </c>
      <c r="E213" s="125">
        <f t="shared" si="13"/>
        <v>5104762.8800000008</v>
      </c>
      <c r="F213" s="125">
        <f t="shared" si="14"/>
        <v>9525140</v>
      </c>
      <c r="G213" s="125">
        <f t="shared" si="15"/>
        <v>109122000</v>
      </c>
      <c r="H213" s="125">
        <v>604</v>
      </c>
      <c r="I213" s="125">
        <v>108421</v>
      </c>
      <c r="J213" s="125">
        <v>97</v>
      </c>
      <c r="K213" s="125">
        <v>12566</v>
      </c>
      <c r="L213" s="125">
        <v>10655</v>
      </c>
      <c r="M213" s="125">
        <v>8917</v>
      </c>
      <c r="N213" s="125">
        <v>7933</v>
      </c>
      <c r="O213" s="125">
        <v>4473</v>
      </c>
      <c r="P213" s="125">
        <v>4995</v>
      </c>
      <c r="Q213" s="125">
        <v>13899</v>
      </c>
      <c r="R213" s="125">
        <v>16086</v>
      </c>
      <c r="S213" s="125">
        <v>6862</v>
      </c>
      <c r="T213" s="125">
        <v>8089</v>
      </c>
      <c r="U213" s="125">
        <v>5356</v>
      </c>
      <c r="V213" s="125">
        <v>4716</v>
      </c>
      <c r="W213" s="125">
        <v>13821</v>
      </c>
      <c r="X213" s="125">
        <v>13962</v>
      </c>
      <c r="Y213" s="125">
        <v>35311</v>
      </c>
      <c r="Z213" s="125">
        <v>35608</v>
      </c>
    </row>
    <row r="214" spans="2:26" x14ac:dyDescent="0.2">
      <c r="B214" s="125" t="s">
        <v>523</v>
      </c>
      <c r="C214" s="125">
        <f t="shared" si="12"/>
        <v>6401.2857142857147</v>
      </c>
      <c r="D214" s="125">
        <f t="shared" si="12"/>
        <v>5759.7142857142853</v>
      </c>
      <c r="E214" s="125">
        <f t="shared" si="13"/>
        <v>1989406.7200000002</v>
      </c>
      <c r="F214" s="125">
        <f t="shared" si="14"/>
        <v>3712097.5</v>
      </c>
      <c r="G214" s="125">
        <f t="shared" si="15"/>
        <v>22686000</v>
      </c>
      <c r="H214" s="125">
        <v>0</v>
      </c>
      <c r="I214" s="125">
        <v>22642</v>
      </c>
      <c r="J214" s="125">
        <v>44</v>
      </c>
      <c r="K214" s="125">
        <v>7578</v>
      </c>
      <c r="L214" s="125">
        <v>8107</v>
      </c>
      <c r="M214" s="125">
        <v>7223</v>
      </c>
      <c r="N214" s="125">
        <v>6889</v>
      </c>
      <c r="O214" s="125">
        <v>3082</v>
      </c>
      <c r="P214" s="125">
        <v>3477</v>
      </c>
      <c r="Q214" s="125">
        <v>3000</v>
      </c>
      <c r="R214" s="125">
        <v>3125</v>
      </c>
      <c r="S214" s="125">
        <v>8321</v>
      </c>
      <c r="T214" s="125">
        <v>5528</v>
      </c>
      <c r="U214" s="125">
        <v>9781</v>
      </c>
      <c r="V214" s="125">
        <v>9192</v>
      </c>
      <c r="W214" s="125">
        <v>5824</v>
      </c>
      <c r="X214" s="125">
        <v>4000</v>
      </c>
      <c r="Y214" s="125">
        <v>13867</v>
      </c>
      <c r="Z214" s="125">
        <v>13877</v>
      </c>
    </row>
    <row r="215" spans="2:26" x14ac:dyDescent="0.2">
      <c r="B215" s="125" t="s">
        <v>494</v>
      </c>
      <c r="C215" s="125">
        <f t="shared" si="12"/>
        <v>330</v>
      </c>
      <c r="D215" s="125">
        <f t="shared" si="12"/>
        <v>158</v>
      </c>
      <c r="E215" s="125">
        <f t="shared" si="13"/>
        <v>1114193.9200000002</v>
      </c>
      <c r="F215" s="125">
        <f t="shared" si="14"/>
        <v>2079010</v>
      </c>
      <c r="G215" s="125">
        <f t="shared" si="15"/>
        <v>6992000</v>
      </c>
      <c r="H215" s="125">
        <v>176</v>
      </c>
      <c r="I215" s="125">
        <v>6374</v>
      </c>
      <c r="J215" s="125">
        <v>442</v>
      </c>
      <c r="K215" s="125">
        <v>34</v>
      </c>
      <c r="L215" s="125">
        <v>279</v>
      </c>
      <c r="M215" s="125">
        <v>1754</v>
      </c>
      <c r="N215" s="125">
        <v>108</v>
      </c>
      <c r="O215" s="125">
        <v>13</v>
      </c>
      <c r="P215" s="125">
        <v>51</v>
      </c>
      <c r="Q215" s="125">
        <v>0</v>
      </c>
      <c r="R215" s="125">
        <v>38</v>
      </c>
      <c r="S215" s="125">
        <v>4</v>
      </c>
      <c r="T215" s="125">
        <v>34</v>
      </c>
      <c r="U215" s="125">
        <v>505</v>
      </c>
      <c r="V215" s="125">
        <v>563</v>
      </c>
      <c r="W215" s="125">
        <v>0</v>
      </c>
      <c r="X215" s="125">
        <v>33</v>
      </c>
      <c r="Y215" s="125">
        <v>7770</v>
      </c>
      <c r="Z215" s="125">
        <v>7772</v>
      </c>
    </row>
    <row r="216" spans="2:26" x14ac:dyDescent="0.2">
      <c r="B216" s="125" t="s">
        <v>251</v>
      </c>
      <c r="C216" s="125">
        <f t="shared" si="12"/>
        <v>5868.5714285714284</v>
      </c>
      <c r="D216" s="125">
        <f t="shared" si="12"/>
        <v>6646.4285714285716</v>
      </c>
      <c r="E216" s="125">
        <f t="shared" si="13"/>
        <v>3385303.0400000005</v>
      </c>
      <c r="F216" s="125">
        <f t="shared" si="14"/>
        <v>6316745</v>
      </c>
      <c r="G216" s="125">
        <f t="shared" si="15"/>
        <v>49003000</v>
      </c>
      <c r="H216" s="125">
        <v>51</v>
      </c>
      <c r="I216" s="125">
        <v>48869</v>
      </c>
      <c r="J216" s="125">
        <v>83</v>
      </c>
      <c r="K216" s="125">
        <v>5323</v>
      </c>
      <c r="L216" s="125">
        <v>4859</v>
      </c>
      <c r="M216" s="125">
        <v>7922</v>
      </c>
      <c r="N216" s="125">
        <v>8161</v>
      </c>
      <c r="O216" s="125">
        <v>5843</v>
      </c>
      <c r="P216" s="125">
        <v>6415</v>
      </c>
      <c r="Q216" s="125">
        <v>3248</v>
      </c>
      <c r="R216" s="125">
        <v>4329</v>
      </c>
      <c r="S216" s="125">
        <v>7097</v>
      </c>
      <c r="T216" s="125">
        <v>10018</v>
      </c>
      <c r="U216" s="125">
        <v>3946</v>
      </c>
      <c r="V216" s="125">
        <v>5338</v>
      </c>
      <c r="W216" s="125">
        <v>7701</v>
      </c>
      <c r="X216" s="125">
        <v>7405</v>
      </c>
      <c r="Y216" s="125">
        <v>23301</v>
      </c>
      <c r="Z216" s="125">
        <v>23614</v>
      </c>
    </row>
    <row r="217" spans="2:26" x14ac:dyDescent="0.2">
      <c r="B217" s="125" t="s">
        <v>495</v>
      </c>
      <c r="C217" s="125">
        <f t="shared" si="12"/>
        <v>5421.2857142857147</v>
      </c>
      <c r="D217" s="125">
        <f t="shared" si="12"/>
        <v>5899</v>
      </c>
      <c r="E217" s="125">
        <f t="shared" si="13"/>
        <v>2442424.3200000003</v>
      </c>
      <c r="F217" s="125">
        <f t="shared" si="14"/>
        <v>4557397.5</v>
      </c>
      <c r="G217" s="125">
        <f t="shared" si="15"/>
        <v>18994000</v>
      </c>
      <c r="H217" s="125">
        <v>0</v>
      </c>
      <c r="I217" s="125">
        <v>16475</v>
      </c>
      <c r="J217" s="125">
        <v>2519</v>
      </c>
      <c r="K217" s="125">
        <v>5052</v>
      </c>
      <c r="L217" s="125">
        <v>4080</v>
      </c>
      <c r="M217" s="125">
        <v>9676</v>
      </c>
      <c r="N217" s="125">
        <v>10522</v>
      </c>
      <c r="O217" s="125">
        <v>6721</v>
      </c>
      <c r="P217" s="125">
        <v>6523</v>
      </c>
      <c r="Q217" s="125">
        <v>3508</v>
      </c>
      <c r="R217" s="125">
        <v>4161</v>
      </c>
      <c r="S217" s="125">
        <v>3380</v>
      </c>
      <c r="T217" s="125">
        <v>5848</v>
      </c>
      <c r="U217" s="125">
        <v>4603</v>
      </c>
      <c r="V217" s="125">
        <v>5054</v>
      </c>
      <c r="W217" s="125">
        <v>5009</v>
      </c>
      <c r="X217" s="125">
        <v>5105</v>
      </c>
      <c r="Y217" s="125">
        <v>16857</v>
      </c>
      <c r="Z217" s="125">
        <v>17037</v>
      </c>
    </row>
    <row r="218" spans="2:26" x14ac:dyDescent="0.2">
      <c r="B218" s="125" t="s">
        <v>252</v>
      </c>
      <c r="C218" s="125">
        <f t="shared" si="12"/>
        <v>1569.5714285714287</v>
      </c>
      <c r="D218" s="125">
        <f t="shared" si="12"/>
        <v>2091</v>
      </c>
      <c r="E218" s="125">
        <f t="shared" si="13"/>
        <v>1777807.3600000001</v>
      </c>
      <c r="F218" s="125">
        <f t="shared" si="14"/>
        <v>3317267.5</v>
      </c>
      <c r="G218" s="125">
        <f t="shared" si="15"/>
        <v>22853000</v>
      </c>
      <c r="H218" s="125">
        <v>0</v>
      </c>
      <c r="I218" s="125">
        <v>21174</v>
      </c>
      <c r="J218" s="125">
        <v>1679</v>
      </c>
      <c r="K218" s="125">
        <v>2803</v>
      </c>
      <c r="L218" s="125">
        <v>3619</v>
      </c>
      <c r="M218" s="125">
        <v>1587</v>
      </c>
      <c r="N218" s="125">
        <v>839</v>
      </c>
      <c r="O218" s="125">
        <v>2678</v>
      </c>
      <c r="P218" s="125">
        <v>5133</v>
      </c>
      <c r="Q218" s="125">
        <v>372</v>
      </c>
      <c r="R218" s="125">
        <v>474</v>
      </c>
      <c r="S218" s="125">
        <v>537</v>
      </c>
      <c r="T218" s="125">
        <v>691</v>
      </c>
      <c r="U218" s="125">
        <v>1046</v>
      </c>
      <c r="V218" s="125">
        <v>1250</v>
      </c>
      <c r="W218" s="125">
        <v>1964</v>
      </c>
      <c r="X218" s="125">
        <v>2631</v>
      </c>
      <c r="Y218" s="125">
        <v>12342</v>
      </c>
      <c r="Z218" s="125">
        <v>12401</v>
      </c>
    </row>
    <row r="219" spans="2:26" x14ac:dyDescent="0.2">
      <c r="B219" s="125" t="s">
        <v>287</v>
      </c>
      <c r="C219" s="125">
        <f t="shared" si="12"/>
        <v>39594.571428571428</v>
      </c>
      <c r="D219" s="125">
        <f t="shared" si="12"/>
        <v>37693.142857142855</v>
      </c>
      <c r="E219" s="125">
        <f t="shared" si="13"/>
        <v>8952545.2800000012</v>
      </c>
      <c r="F219" s="125">
        <f t="shared" si="14"/>
        <v>16704840</v>
      </c>
      <c r="G219" s="125">
        <f t="shared" si="15"/>
        <v>253531000</v>
      </c>
      <c r="H219" s="125">
        <v>1041</v>
      </c>
      <c r="I219" s="125">
        <v>241534</v>
      </c>
      <c r="J219" s="125">
        <v>10956</v>
      </c>
      <c r="K219" s="125">
        <v>42800</v>
      </c>
      <c r="L219" s="125">
        <v>40736</v>
      </c>
      <c r="M219" s="125">
        <v>63766</v>
      </c>
      <c r="N219" s="125">
        <v>63262</v>
      </c>
      <c r="O219" s="125">
        <v>49930</v>
      </c>
      <c r="P219" s="125">
        <v>46724</v>
      </c>
      <c r="Q219" s="125">
        <v>27718</v>
      </c>
      <c r="R219" s="125">
        <v>24304</v>
      </c>
      <c r="S219" s="125">
        <v>40391</v>
      </c>
      <c r="T219" s="125">
        <v>39526</v>
      </c>
      <c r="U219" s="125">
        <v>20670</v>
      </c>
      <c r="V219" s="125">
        <v>17097</v>
      </c>
      <c r="W219" s="125">
        <v>31887</v>
      </c>
      <c r="X219" s="125">
        <v>32203</v>
      </c>
      <c r="Y219" s="125">
        <v>61865</v>
      </c>
      <c r="Z219" s="125">
        <v>62448</v>
      </c>
    </row>
    <row r="220" spans="2:26" x14ac:dyDescent="0.2">
      <c r="B220" s="125" t="s">
        <v>378</v>
      </c>
      <c r="C220" s="125">
        <f t="shared" si="12"/>
        <v>30125.285714285714</v>
      </c>
      <c r="D220" s="125">
        <f t="shared" si="12"/>
        <v>38279</v>
      </c>
      <c r="E220" s="125">
        <f t="shared" si="13"/>
        <v>4052357.1200000006</v>
      </c>
      <c r="F220" s="125">
        <f t="shared" si="14"/>
        <v>7561422.5</v>
      </c>
      <c r="G220" s="125">
        <f t="shared" si="15"/>
        <v>35086000</v>
      </c>
      <c r="H220" s="125">
        <v>190</v>
      </c>
      <c r="I220" s="125">
        <v>34485</v>
      </c>
      <c r="J220" s="125">
        <v>411</v>
      </c>
      <c r="K220" s="125">
        <v>39445</v>
      </c>
      <c r="L220" s="125">
        <v>44611</v>
      </c>
      <c r="M220" s="125">
        <v>19371</v>
      </c>
      <c r="N220" s="125">
        <v>22483</v>
      </c>
      <c r="O220" s="125">
        <v>23280</v>
      </c>
      <c r="P220" s="125">
        <v>40608</v>
      </c>
      <c r="Q220" s="125">
        <v>40707</v>
      </c>
      <c r="R220" s="125">
        <v>46072</v>
      </c>
      <c r="S220" s="125">
        <v>35927</v>
      </c>
      <c r="T220" s="125">
        <v>34576</v>
      </c>
      <c r="U220" s="125">
        <v>31699</v>
      </c>
      <c r="V220" s="125">
        <v>58033</v>
      </c>
      <c r="W220" s="125">
        <v>20448</v>
      </c>
      <c r="X220" s="125">
        <v>21570</v>
      </c>
      <c r="Y220" s="125">
        <v>27914</v>
      </c>
      <c r="Z220" s="125">
        <v>28267</v>
      </c>
    </row>
    <row r="221" spans="2:26" x14ac:dyDescent="0.2">
      <c r="B221" s="125" t="s">
        <v>253</v>
      </c>
      <c r="C221" s="125">
        <f t="shared" si="12"/>
        <v>14288.428571428571</v>
      </c>
      <c r="D221" s="125">
        <f t="shared" si="12"/>
        <v>14552.571428571429</v>
      </c>
      <c r="E221" s="125">
        <f t="shared" si="13"/>
        <v>6067425.2800000003</v>
      </c>
      <c r="F221" s="125">
        <f t="shared" si="14"/>
        <v>11321402.5</v>
      </c>
      <c r="G221" s="125">
        <f t="shared" si="15"/>
        <v>65139000</v>
      </c>
      <c r="H221" s="125">
        <v>0</v>
      </c>
      <c r="I221" s="125">
        <v>65011</v>
      </c>
      <c r="J221" s="125">
        <v>128</v>
      </c>
      <c r="K221" s="125">
        <v>21637</v>
      </c>
      <c r="L221" s="125">
        <v>23727</v>
      </c>
      <c r="M221" s="125">
        <v>12806</v>
      </c>
      <c r="N221" s="125">
        <v>9973</v>
      </c>
      <c r="O221" s="125">
        <v>11890</v>
      </c>
      <c r="P221" s="125">
        <v>26441</v>
      </c>
      <c r="Q221" s="125">
        <v>9019</v>
      </c>
      <c r="R221" s="125">
        <v>9626</v>
      </c>
      <c r="S221" s="125">
        <v>14203</v>
      </c>
      <c r="T221" s="125">
        <v>6191</v>
      </c>
      <c r="U221" s="125">
        <v>16635</v>
      </c>
      <c r="V221" s="125">
        <v>11261</v>
      </c>
      <c r="W221" s="125">
        <v>13829</v>
      </c>
      <c r="X221" s="125">
        <v>14649</v>
      </c>
      <c r="Y221" s="125">
        <v>41763</v>
      </c>
      <c r="Z221" s="125">
        <v>42323</v>
      </c>
    </row>
    <row r="222" spans="2:26" x14ac:dyDescent="0.2">
      <c r="B222" s="125" t="s">
        <v>254</v>
      </c>
      <c r="C222" s="125">
        <f t="shared" si="12"/>
        <v>246033</v>
      </c>
      <c r="D222" s="125">
        <f t="shared" si="12"/>
        <v>263458.28571428574</v>
      </c>
      <c r="E222" s="125">
        <f t="shared" si="13"/>
        <v>25221038.080000002</v>
      </c>
      <c r="F222" s="125">
        <f t="shared" si="14"/>
        <v>47060740</v>
      </c>
      <c r="G222" s="125">
        <f t="shared" si="15"/>
        <v>412598000</v>
      </c>
      <c r="H222" s="125">
        <v>13099</v>
      </c>
      <c r="I222" s="125">
        <v>393093</v>
      </c>
      <c r="J222" s="125">
        <v>6406</v>
      </c>
      <c r="K222" s="125">
        <v>335668</v>
      </c>
      <c r="L222" s="125">
        <v>340665</v>
      </c>
      <c r="M222" s="125">
        <v>289913</v>
      </c>
      <c r="N222" s="125">
        <v>313366</v>
      </c>
      <c r="O222" s="125">
        <v>169908</v>
      </c>
      <c r="P222" s="125">
        <v>192499</v>
      </c>
      <c r="Q222" s="125">
        <v>272592</v>
      </c>
      <c r="R222" s="125">
        <v>305648</v>
      </c>
      <c r="S222" s="125">
        <v>398588</v>
      </c>
      <c r="T222" s="125">
        <v>411949</v>
      </c>
      <c r="U222" s="125">
        <v>138908</v>
      </c>
      <c r="V222" s="125">
        <v>158604</v>
      </c>
      <c r="W222" s="125">
        <v>116654</v>
      </c>
      <c r="X222" s="125">
        <v>121477</v>
      </c>
      <c r="Y222" s="125">
        <v>173592</v>
      </c>
      <c r="Z222" s="125">
        <v>175928</v>
      </c>
    </row>
    <row r="223" spans="2:26" x14ac:dyDescent="0.2">
      <c r="B223" s="125" t="s">
        <v>568</v>
      </c>
      <c r="C223" s="125">
        <f t="shared" si="12"/>
        <v>33667.285714285717</v>
      </c>
      <c r="D223" s="125">
        <f t="shared" si="12"/>
        <v>40319.285714285717</v>
      </c>
      <c r="E223" s="125">
        <f t="shared" si="13"/>
        <v>12299141.120000001</v>
      </c>
      <c r="F223" s="125">
        <f t="shared" si="14"/>
        <v>22949360</v>
      </c>
      <c r="G223" s="125">
        <f t="shared" si="15"/>
        <v>304802000</v>
      </c>
      <c r="H223" s="125">
        <v>0</v>
      </c>
      <c r="I223" s="125">
        <v>294562</v>
      </c>
      <c r="J223" s="125">
        <v>10240</v>
      </c>
      <c r="K223" s="125">
        <v>36433</v>
      </c>
      <c r="L223" s="125">
        <v>44468</v>
      </c>
      <c r="M223" s="125">
        <v>39785</v>
      </c>
      <c r="N223" s="125">
        <v>30987</v>
      </c>
      <c r="O223" s="125">
        <v>40685</v>
      </c>
      <c r="P223" s="125">
        <v>73872</v>
      </c>
      <c r="Q223" s="125">
        <v>67381</v>
      </c>
      <c r="R223" s="125">
        <v>52193</v>
      </c>
      <c r="S223" s="125">
        <v>12832</v>
      </c>
      <c r="T223" s="125">
        <v>22132</v>
      </c>
      <c r="U223" s="125">
        <v>19983</v>
      </c>
      <c r="V223" s="125">
        <v>36707</v>
      </c>
      <c r="W223" s="125">
        <v>18572</v>
      </c>
      <c r="X223" s="125">
        <v>21876</v>
      </c>
      <c r="Y223" s="125">
        <v>85398</v>
      </c>
      <c r="Z223" s="125">
        <v>85792</v>
      </c>
    </row>
    <row r="224" spans="2:26" x14ac:dyDescent="0.2">
      <c r="B224" s="125" t="s">
        <v>408</v>
      </c>
      <c r="C224" s="125">
        <f t="shared" si="12"/>
        <v>1203.2857142857142</v>
      </c>
      <c r="D224" s="125">
        <f t="shared" si="12"/>
        <v>1104.7142857142858</v>
      </c>
      <c r="E224" s="125">
        <f t="shared" si="13"/>
        <v>1048391.6800000001</v>
      </c>
      <c r="F224" s="125">
        <f t="shared" si="14"/>
        <v>1956227.5</v>
      </c>
      <c r="G224" s="125">
        <f t="shared" si="15"/>
        <v>19297000</v>
      </c>
      <c r="H224" s="125">
        <v>0</v>
      </c>
      <c r="I224" s="125">
        <v>19015</v>
      </c>
      <c r="J224" s="125">
        <v>282</v>
      </c>
      <c r="K224" s="125">
        <v>2975</v>
      </c>
      <c r="L224" s="125">
        <v>2930</v>
      </c>
      <c r="M224" s="125">
        <v>1236</v>
      </c>
      <c r="N224" s="125">
        <v>820</v>
      </c>
      <c r="O224" s="125">
        <v>604</v>
      </c>
      <c r="P224" s="125">
        <v>738</v>
      </c>
      <c r="Q224" s="125">
        <v>977</v>
      </c>
      <c r="R224" s="125">
        <v>1040</v>
      </c>
      <c r="S224" s="125">
        <v>1240</v>
      </c>
      <c r="T224" s="125">
        <v>1018</v>
      </c>
      <c r="U224" s="125">
        <v>630</v>
      </c>
      <c r="V224" s="125">
        <v>632</v>
      </c>
      <c r="W224" s="125">
        <v>761</v>
      </c>
      <c r="X224" s="125">
        <v>555</v>
      </c>
      <c r="Y224" s="125">
        <v>7386</v>
      </c>
      <c r="Z224" s="125">
        <v>7313</v>
      </c>
    </row>
    <row r="225" spans="2:35" x14ac:dyDescent="0.2">
      <c r="B225" s="125" t="s">
        <v>151</v>
      </c>
      <c r="C225" s="125">
        <f t="shared" si="12"/>
        <v>5410.7142857142853</v>
      </c>
      <c r="D225" s="125">
        <f t="shared" si="12"/>
        <v>6201.8571428571431</v>
      </c>
      <c r="E225" s="125">
        <f t="shared" si="13"/>
        <v>4651315.2000000002</v>
      </c>
      <c r="F225" s="125">
        <f t="shared" si="14"/>
        <v>8679037.5</v>
      </c>
      <c r="G225" s="125">
        <f t="shared" si="15"/>
        <v>75640000</v>
      </c>
      <c r="H225" s="125">
        <v>0</v>
      </c>
      <c r="I225" s="125">
        <v>75234</v>
      </c>
      <c r="J225" s="125">
        <v>406</v>
      </c>
      <c r="K225" s="125">
        <v>7442</v>
      </c>
      <c r="L225" s="125">
        <v>8645</v>
      </c>
      <c r="M225" s="125">
        <v>7041</v>
      </c>
      <c r="N225" s="125">
        <v>12318</v>
      </c>
      <c r="O225" s="125">
        <v>6341</v>
      </c>
      <c r="P225" s="125">
        <v>7970</v>
      </c>
      <c r="Q225" s="125">
        <v>2721</v>
      </c>
      <c r="R225" s="125">
        <v>5269</v>
      </c>
      <c r="S225" s="125">
        <v>5202</v>
      </c>
      <c r="T225" s="125">
        <v>4749</v>
      </c>
      <c r="U225" s="125">
        <v>3874</v>
      </c>
      <c r="V225" s="125">
        <v>1339</v>
      </c>
      <c r="W225" s="125">
        <v>5254</v>
      </c>
      <c r="X225" s="125">
        <v>3123</v>
      </c>
      <c r="Y225" s="125">
        <v>33042</v>
      </c>
      <c r="Z225" s="125">
        <v>32445</v>
      </c>
    </row>
    <row r="226" spans="2:35" x14ac:dyDescent="0.2">
      <c r="B226" s="125" t="s">
        <v>514</v>
      </c>
      <c r="C226" s="125">
        <f t="shared" si="12"/>
        <v>11597.285714285714</v>
      </c>
      <c r="D226" s="125">
        <f t="shared" si="12"/>
        <v>13015.285714285714</v>
      </c>
      <c r="E226" s="125">
        <f t="shared" si="13"/>
        <v>6682296.3200000003</v>
      </c>
      <c r="F226" s="125">
        <f t="shared" si="14"/>
        <v>12468710</v>
      </c>
      <c r="G226" s="125">
        <f t="shared" si="15"/>
        <v>58652000</v>
      </c>
      <c r="H226" s="125">
        <v>0</v>
      </c>
      <c r="I226" s="125">
        <v>58575</v>
      </c>
      <c r="J226" s="125">
        <v>77</v>
      </c>
      <c r="K226" s="125">
        <v>15702</v>
      </c>
      <c r="L226" s="125">
        <v>20488</v>
      </c>
      <c r="M226" s="125">
        <v>11285</v>
      </c>
      <c r="N226" s="125">
        <v>15545</v>
      </c>
      <c r="O226" s="125">
        <v>8551</v>
      </c>
      <c r="P226" s="125">
        <v>14645</v>
      </c>
      <c r="Q226" s="125">
        <v>4397</v>
      </c>
      <c r="R226" s="125">
        <v>3676</v>
      </c>
      <c r="S226" s="125">
        <v>4498</v>
      </c>
      <c r="T226" s="125">
        <v>7576</v>
      </c>
      <c r="U226" s="125">
        <v>20526</v>
      </c>
      <c r="V226" s="125">
        <v>16890</v>
      </c>
      <c r="W226" s="125">
        <v>16222</v>
      </c>
      <c r="X226" s="125">
        <v>12287</v>
      </c>
      <c r="Y226" s="125">
        <v>46557</v>
      </c>
      <c r="Z226" s="125">
        <v>46612</v>
      </c>
    </row>
    <row r="227" spans="2:35" x14ac:dyDescent="0.2">
      <c r="B227" s="125" t="s">
        <v>379</v>
      </c>
      <c r="C227" s="125">
        <f t="shared" si="12"/>
        <v>15492.428571428571</v>
      </c>
      <c r="D227" s="125">
        <f t="shared" si="12"/>
        <v>13955.428571428571</v>
      </c>
      <c r="E227" s="125">
        <f t="shared" si="13"/>
        <v>3736535.0400000005</v>
      </c>
      <c r="F227" s="125">
        <f t="shared" si="14"/>
        <v>6972120</v>
      </c>
      <c r="G227" s="125">
        <f t="shared" si="15"/>
        <v>79941000</v>
      </c>
      <c r="H227" s="125">
        <v>20</v>
      </c>
      <c r="I227" s="125">
        <v>76731</v>
      </c>
      <c r="J227" s="125">
        <v>3190</v>
      </c>
      <c r="K227" s="125">
        <v>12990</v>
      </c>
      <c r="L227" s="125">
        <v>12949</v>
      </c>
      <c r="M227" s="125">
        <v>22666</v>
      </c>
      <c r="N227" s="125">
        <v>18507</v>
      </c>
      <c r="O227" s="125">
        <v>15439</v>
      </c>
      <c r="P227" s="125">
        <v>15582</v>
      </c>
      <c r="Q227" s="125">
        <v>23741</v>
      </c>
      <c r="R227" s="125">
        <v>15709</v>
      </c>
      <c r="S227" s="125">
        <v>8756</v>
      </c>
      <c r="T227" s="125">
        <v>9757</v>
      </c>
      <c r="U227" s="125">
        <v>13336</v>
      </c>
      <c r="V227" s="125">
        <v>12063</v>
      </c>
      <c r="W227" s="125">
        <v>11519</v>
      </c>
      <c r="X227" s="125">
        <v>13121</v>
      </c>
      <c r="Y227" s="125">
        <v>25865</v>
      </c>
      <c r="Z227" s="125">
        <v>26064</v>
      </c>
    </row>
    <row r="228" spans="2:35" x14ac:dyDescent="0.2">
      <c r="B228" s="125" t="s">
        <v>380</v>
      </c>
      <c r="C228" s="125">
        <f t="shared" si="12"/>
        <v>3400.4285714285716</v>
      </c>
      <c r="D228" s="125">
        <f t="shared" si="12"/>
        <v>2970.1428571428573</v>
      </c>
      <c r="E228" s="125">
        <f t="shared" si="13"/>
        <v>2381926.4000000004</v>
      </c>
      <c r="F228" s="125">
        <f t="shared" si="14"/>
        <v>4444512.5</v>
      </c>
      <c r="G228" s="125">
        <f t="shared" si="15"/>
        <v>53026000</v>
      </c>
      <c r="H228" s="125">
        <v>11</v>
      </c>
      <c r="I228" s="125">
        <v>52825</v>
      </c>
      <c r="J228" s="125">
        <v>190</v>
      </c>
      <c r="K228" s="125">
        <v>3978</v>
      </c>
      <c r="L228" s="125">
        <v>2351</v>
      </c>
      <c r="M228" s="125">
        <v>2869</v>
      </c>
      <c r="N228" s="125">
        <v>2667</v>
      </c>
      <c r="O228" s="125">
        <v>5418</v>
      </c>
      <c r="P228" s="125">
        <v>4547</v>
      </c>
      <c r="Q228" s="125">
        <v>5544</v>
      </c>
      <c r="R228" s="125">
        <v>6184</v>
      </c>
      <c r="S228" s="125">
        <v>2592</v>
      </c>
      <c r="T228" s="125">
        <v>2345</v>
      </c>
      <c r="U228" s="125">
        <v>2266</v>
      </c>
      <c r="V228" s="125">
        <v>1729</v>
      </c>
      <c r="W228" s="125">
        <v>1136</v>
      </c>
      <c r="X228" s="125">
        <v>968</v>
      </c>
      <c r="Y228" s="125">
        <v>16326</v>
      </c>
      <c r="Z228" s="125">
        <v>16615</v>
      </c>
    </row>
    <row r="229" spans="2:35" x14ac:dyDescent="0.2">
      <c r="B229" s="125" t="s">
        <v>518</v>
      </c>
      <c r="C229" s="125">
        <f t="shared" si="12"/>
        <v>14760</v>
      </c>
      <c r="D229" s="125">
        <f t="shared" si="12"/>
        <v>17420.428571428572</v>
      </c>
      <c r="E229" s="125">
        <f t="shared" si="13"/>
        <v>3294986.2400000002</v>
      </c>
      <c r="F229" s="125">
        <f t="shared" si="14"/>
        <v>6148220</v>
      </c>
      <c r="G229" s="125">
        <f t="shared" si="15"/>
        <v>34960000</v>
      </c>
      <c r="H229" s="125">
        <v>117</v>
      </c>
      <c r="I229" s="125">
        <v>33966</v>
      </c>
      <c r="J229" s="125">
        <v>877</v>
      </c>
      <c r="K229" s="125">
        <v>28998</v>
      </c>
      <c r="L229" s="125">
        <v>29121</v>
      </c>
      <c r="M229" s="125">
        <v>10571</v>
      </c>
      <c r="N229" s="125">
        <v>26712</v>
      </c>
      <c r="O229" s="125">
        <v>21717</v>
      </c>
      <c r="P229" s="125">
        <v>27776</v>
      </c>
      <c r="Q229" s="125">
        <v>9361</v>
      </c>
      <c r="R229" s="125">
        <v>10382</v>
      </c>
      <c r="S229" s="125">
        <v>10919</v>
      </c>
      <c r="T229" s="125">
        <v>13039</v>
      </c>
      <c r="U229" s="125">
        <v>15178</v>
      </c>
      <c r="V229" s="125">
        <v>10414</v>
      </c>
      <c r="W229" s="125">
        <v>6576</v>
      </c>
      <c r="X229" s="125">
        <v>4499</v>
      </c>
      <c r="Y229" s="125">
        <v>22869</v>
      </c>
      <c r="Z229" s="125">
        <v>22984</v>
      </c>
    </row>
    <row r="230" spans="2:35" x14ac:dyDescent="0.2">
      <c r="B230" s="125" t="s">
        <v>255</v>
      </c>
      <c r="C230" s="125">
        <f t="shared" si="12"/>
        <v>2253.8571428571427</v>
      </c>
      <c r="D230" s="125">
        <f t="shared" si="12"/>
        <v>3175.4285714285716</v>
      </c>
      <c r="E230" s="125">
        <f t="shared" si="13"/>
        <v>3888209.9200000004</v>
      </c>
      <c r="F230" s="125">
        <f t="shared" si="14"/>
        <v>7255135</v>
      </c>
      <c r="G230" s="125">
        <f t="shared" si="15"/>
        <v>42885000</v>
      </c>
      <c r="H230" s="125">
        <v>0</v>
      </c>
      <c r="I230" s="125">
        <v>42659</v>
      </c>
      <c r="J230" s="125">
        <v>226</v>
      </c>
      <c r="K230" s="125">
        <v>5295</v>
      </c>
      <c r="L230" s="125">
        <v>4275</v>
      </c>
      <c r="M230" s="125">
        <v>271</v>
      </c>
      <c r="N230" s="125">
        <v>2231</v>
      </c>
      <c r="O230" s="125">
        <v>274</v>
      </c>
      <c r="P230" s="125">
        <v>1225</v>
      </c>
      <c r="Q230" s="125">
        <v>3299</v>
      </c>
      <c r="R230" s="125">
        <v>4683</v>
      </c>
      <c r="S230" s="125">
        <v>6511</v>
      </c>
      <c r="T230" s="125">
        <v>6536</v>
      </c>
      <c r="U230" s="125">
        <v>11</v>
      </c>
      <c r="V230" s="125">
        <v>809</v>
      </c>
      <c r="W230" s="125">
        <v>116</v>
      </c>
      <c r="X230" s="125">
        <v>2469</v>
      </c>
      <c r="Y230" s="125">
        <v>26890</v>
      </c>
      <c r="Z230" s="125">
        <v>27122</v>
      </c>
    </row>
    <row r="231" spans="2:35" x14ac:dyDescent="0.2">
      <c r="B231" s="125" t="s">
        <v>496</v>
      </c>
      <c r="C231" s="125">
        <f t="shared" si="12"/>
        <v>792.28571428571433</v>
      </c>
      <c r="D231" s="125">
        <f t="shared" si="12"/>
        <v>1116.2857142857142</v>
      </c>
      <c r="E231" s="125">
        <f t="shared" si="13"/>
        <v>2178068.48</v>
      </c>
      <c r="F231" s="125">
        <f t="shared" si="14"/>
        <v>4064127.5</v>
      </c>
      <c r="G231" s="125">
        <f t="shared" si="15"/>
        <v>28404000</v>
      </c>
      <c r="H231" s="125">
        <v>0</v>
      </c>
      <c r="I231" s="125">
        <v>27910</v>
      </c>
      <c r="J231" s="125">
        <v>494</v>
      </c>
      <c r="K231" s="125">
        <v>557</v>
      </c>
      <c r="L231" s="125">
        <v>557</v>
      </c>
      <c r="M231" s="125">
        <v>212</v>
      </c>
      <c r="N231" s="125">
        <v>0</v>
      </c>
      <c r="O231" s="125">
        <v>2456</v>
      </c>
      <c r="P231" s="125">
        <v>4629</v>
      </c>
      <c r="Q231" s="125">
        <v>781</v>
      </c>
      <c r="R231" s="125">
        <v>980</v>
      </c>
      <c r="S231" s="125">
        <v>1390</v>
      </c>
      <c r="T231" s="125">
        <v>1637</v>
      </c>
      <c r="U231" s="125">
        <v>150</v>
      </c>
      <c r="V231" s="125">
        <v>11</v>
      </c>
      <c r="W231" s="125">
        <v>0</v>
      </c>
      <c r="X231" s="125">
        <v>0</v>
      </c>
      <c r="Y231" s="125">
        <v>15315</v>
      </c>
      <c r="Z231" s="125">
        <v>15193</v>
      </c>
    </row>
    <row r="232" spans="2:35" x14ac:dyDescent="0.2">
      <c r="B232" s="125" t="s">
        <v>381</v>
      </c>
      <c r="C232" s="125">
        <f t="shared" si="12"/>
        <v>11736.142857142857</v>
      </c>
      <c r="D232" s="125">
        <f t="shared" si="12"/>
        <v>13954.428571428571</v>
      </c>
      <c r="E232" s="125">
        <f t="shared" si="13"/>
        <v>3424727.0400000005</v>
      </c>
      <c r="F232" s="125">
        <f t="shared" si="14"/>
        <v>6390307.5</v>
      </c>
      <c r="G232" s="125">
        <f t="shared" si="15"/>
        <v>65196000</v>
      </c>
      <c r="H232" s="125">
        <v>405</v>
      </c>
      <c r="I232" s="125">
        <v>64791</v>
      </c>
      <c r="J232" s="125">
        <v>0</v>
      </c>
      <c r="K232" s="125">
        <v>22687</v>
      </c>
      <c r="L232" s="125">
        <v>32545</v>
      </c>
      <c r="M232" s="125">
        <v>10086</v>
      </c>
      <c r="N232" s="125">
        <v>13603</v>
      </c>
      <c r="O232" s="125">
        <v>13149</v>
      </c>
      <c r="P232" s="125">
        <v>17075</v>
      </c>
      <c r="Q232" s="125">
        <v>11281</v>
      </c>
      <c r="R232" s="125">
        <v>9818</v>
      </c>
      <c r="S232" s="125">
        <v>2819</v>
      </c>
      <c r="T232" s="125">
        <v>3054</v>
      </c>
      <c r="U232" s="125">
        <v>4843</v>
      </c>
      <c r="V232" s="125">
        <v>2340</v>
      </c>
      <c r="W232" s="125">
        <v>17288</v>
      </c>
      <c r="X232" s="125">
        <v>19246</v>
      </c>
      <c r="Y232" s="125">
        <v>23601</v>
      </c>
      <c r="Z232" s="125">
        <v>23889</v>
      </c>
    </row>
    <row r="233" spans="2:35" x14ac:dyDescent="0.2">
      <c r="B233" s="125" t="s">
        <v>454</v>
      </c>
      <c r="C233" s="125">
        <f t="shared" si="12"/>
        <v>8150.2857142857147</v>
      </c>
      <c r="D233" s="125">
        <f t="shared" si="12"/>
        <v>9290.4285714285706</v>
      </c>
      <c r="E233" s="125">
        <f t="shared" si="13"/>
        <v>2660904.9600000004</v>
      </c>
      <c r="F233" s="125">
        <f t="shared" si="14"/>
        <v>4965067.5</v>
      </c>
      <c r="G233" s="125">
        <f t="shared" si="15"/>
        <v>48526000</v>
      </c>
      <c r="H233" s="125">
        <v>1067</v>
      </c>
      <c r="I233" s="125">
        <v>47438</v>
      </c>
      <c r="J233" s="125">
        <v>21</v>
      </c>
      <c r="K233" s="125">
        <v>11165</v>
      </c>
      <c r="L233" s="125">
        <v>12274</v>
      </c>
      <c r="M233" s="125">
        <v>9501</v>
      </c>
      <c r="N233" s="125">
        <v>14794</v>
      </c>
      <c r="O233" s="125">
        <v>11071</v>
      </c>
      <c r="P233" s="125">
        <v>13040</v>
      </c>
      <c r="Q233" s="125">
        <v>4848</v>
      </c>
      <c r="R233" s="125">
        <v>4726</v>
      </c>
      <c r="S233" s="125">
        <v>5896</v>
      </c>
      <c r="T233" s="125">
        <v>6759</v>
      </c>
      <c r="U233" s="125">
        <v>7367</v>
      </c>
      <c r="V233" s="125">
        <v>6078</v>
      </c>
      <c r="W233" s="125">
        <v>7204</v>
      </c>
      <c r="X233" s="125">
        <v>7362</v>
      </c>
      <c r="Y233" s="125">
        <v>18491</v>
      </c>
      <c r="Z233" s="125">
        <v>18561</v>
      </c>
    </row>
    <row r="234" spans="2:35" x14ac:dyDescent="0.2">
      <c r="B234" s="125" t="s">
        <v>455</v>
      </c>
      <c r="C234" s="125">
        <f t="shared" si="12"/>
        <v>6023.8571428571431</v>
      </c>
      <c r="D234" s="125">
        <f t="shared" si="12"/>
        <v>5744.5714285714284</v>
      </c>
      <c r="E234" s="125">
        <f t="shared" si="13"/>
        <v>3750727.6800000002</v>
      </c>
      <c r="F234" s="125">
        <f t="shared" si="14"/>
        <v>6998602.5</v>
      </c>
      <c r="G234" s="125">
        <f t="shared" si="15"/>
        <v>57571000</v>
      </c>
      <c r="H234" s="125">
        <v>0</v>
      </c>
      <c r="I234" s="125">
        <v>56562</v>
      </c>
      <c r="J234" s="125">
        <v>1009</v>
      </c>
      <c r="K234" s="125">
        <v>4758</v>
      </c>
      <c r="L234" s="125">
        <v>3538</v>
      </c>
      <c r="M234" s="125">
        <v>3138</v>
      </c>
      <c r="N234" s="125">
        <v>3882</v>
      </c>
      <c r="O234" s="125">
        <v>3091</v>
      </c>
      <c r="P234" s="125">
        <v>2672</v>
      </c>
      <c r="Q234" s="125">
        <v>7210</v>
      </c>
      <c r="R234" s="125">
        <v>6644</v>
      </c>
      <c r="S234" s="125">
        <v>4056</v>
      </c>
      <c r="T234" s="125">
        <v>4158</v>
      </c>
      <c r="U234" s="125">
        <v>8272</v>
      </c>
      <c r="V234" s="125">
        <v>7212</v>
      </c>
      <c r="W234" s="125">
        <v>11642</v>
      </c>
      <c r="X234" s="125">
        <v>12106</v>
      </c>
      <c r="Y234" s="125">
        <v>25945</v>
      </c>
      <c r="Z234" s="125">
        <v>26163</v>
      </c>
    </row>
    <row r="235" spans="2:35" x14ac:dyDescent="0.2">
      <c r="B235" s="125" t="s">
        <v>170</v>
      </c>
      <c r="C235" s="125">
        <f t="shared" si="12"/>
        <v>2973.7142857142858</v>
      </c>
      <c r="D235" s="125">
        <f t="shared" si="12"/>
        <v>4122.4285714285716</v>
      </c>
      <c r="E235" s="125">
        <f t="shared" si="13"/>
        <v>5458718.7200000007</v>
      </c>
      <c r="F235" s="125">
        <f t="shared" si="14"/>
        <v>10185597.5</v>
      </c>
      <c r="G235" s="125">
        <f t="shared" si="15"/>
        <v>128710000</v>
      </c>
      <c r="H235" s="125">
        <v>4424</v>
      </c>
      <c r="I235" s="125">
        <v>122551</v>
      </c>
      <c r="J235" s="125">
        <v>1735</v>
      </c>
      <c r="K235" s="125">
        <v>5208</v>
      </c>
      <c r="L235" s="125">
        <v>10163</v>
      </c>
      <c r="M235" s="125">
        <v>3191</v>
      </c>
      <c r="N235" s="125">
        <v>3362</v>
      </c>
      <c r="O235" s="125">
        <v>4972</v>
      </c>
      <c r="P235" s="125">
        <v>6403</v>
      </c>
      <c r="Q235" s="125">
        <v>3303</v>
      </c>
      <c r="R235" s="125">
        <v>3566</v>
      </c>
      <c r="S235" s="125">
        <v>1678</v>
      </c>
      <c r="T235" s="125">
        <v>2733</v>
      </c>
      <c r="U235" s="125">
        <v>1093</v>
      </c>
      <c r="V235" s="125">
        <v>1353</v>
      </c>
      <c r="W235" s="125">
        <v>1371</v>
      </c>
      <c r="X235" s="125">
        <v>1277</v>
      </c>
      <c r="Y235" s="125">
        <v>38107</v>
      </c>
      <c r="Z235" s="125">
        <v>38077</v>
      </c>
    </row>
    <row r="236" spans="2:35" x14ac:dyDescent="0.2">
      <c r="B236" s="125" t="s">
        <v>256</v>
      </c>
      <c r="C236" s="125">
        <f t="shared" si="12"/>
        <v>4310.8571428571431</v>
      </c>
      <c r="D236" s="125">
        <f t="shared" si="12"/>
        <v>4945</v>
      </c>
      <c r="E236" s="125">
        <f t="shared" si="13"/>
        <v>3369390.0800000005</v>
      </c>
      <c r="F236" s="125">
        <f t="shared" si="14"/>
        <v>6287052.5</v>
      </c>
      <c r="G236" s="125">
        <f t="shared" si="15"/>
        <v>21877000</v>
      </c>
      <c r="H236" s="125">
        <v>555</v>
      </c>
      <c r="I236" s="125">
        <v>21273</v>
      </c>
      <c r="J236" s="125">
        <v>49</v>
      </c>
      <c r="K236" s="125">
        <v>8146</v>
      </c>
      <c r="L236" s="125">
        <v>6409</v>
      </c>
      <c r="M236" s="125">
        <v>3817</v>
      </c>
      <c r="N236" s="125">
        <v>6373</v>
      </c>
      <c r="O236" s="125">
        <v>6070</v>
      </c>
      <c r="P236" s="125">
        <v>7101</v>
      </c>
      <c r="Q236" s="125">
        <v>2927</v>
      </c>
      <c r="R236" s="125">
        <v>3194</v>
      </c>
      <c r="S236" s="125">
        <v>1964</v>
      </c>
      <c r="T236" s="125">
        <v>2614</v>
      </c>
      <c r="U236" s="125">
        <v>4432</v>
      </c>
      <c r="V236" s="125">
        <v>5737</v>
      </c>
      <c r="W236" s="125">
        <v>2820</v>
      </c>
      <c r="X236" s="125">
        <v>3187</v>
      </c>
      <c r="Y236" s="125">
        <v>23263</v>
      </c>
      <c r="Z236" s="125">
        <v>23503</v>
      </c>
    </row>
    <row r="237" spans="2:35" x14ac:dyDescent="0.2">
      <c r="B237" s="125" t="s">
        <v>211</v>
      </c>
      <c r="C237" s="125">
        <f t="shared" si="12"/>
        <v>11041.428571428571</v>
      </c>
      <c r="D237" s="125">
        <f t="shared" si="12"/>
        <v>10842.285714285714</v>
      </c>
      <c r="E237" s="125">
        <f t="shared" si="13"/>
        <v>4576624.6400000006</v>
      </c>
      <c r="F237" s="125">
        <f t="shared" si="14"/>
        <v>8539670</v>
      </c>
      <c r="G237" s="125">
        <f t="shared" si="15"/>
        <v>83871000</v>
      </c>
      <c r="H237" s="125">
        <v>815</v>
      </c>
      <c r="I237" s="125">
        <v>82222</v>
      </c>
      <c r="J237" s="125">
        <v>834</v>
      </c>
      <c r="K237" s="125">
        <v>5602</v>
      </c>
      <c r="L237" s="125">
        <v>5793</v>
      </c>
      <c r="M237" s="125">
        <v>14602</v>
      </c>
      <c r="N237" s="125">
        <v>12327</v>
      </c>
      <c r="O237" s="125">
        <v>10466</v>
      </c>
      <c r="P237" s="125">
        <v>11385</v>
      </c>
      <c r="Q237" s="125">
        <v>9491</v>
      </c>
      <c r="R237" s="125">
        <v>14011</v>
      </c>
      <c r="S237" s="125">
        <v>11321</v>
      </c>
      <c r="T237" s="125">
        <v>11138</v>
      </c>
      <c r="U237" s="125">
        <v>14997</v>
      </c>
      <c r="V237" s="125">
        <v>11576</v>
      </c>
      <c r="W237" s="125">
        <v>10811</v>
      </c>
      <c r="X237" s="125">
        <v>9666</v>
      </c>
      <c r="Y237" s="125">
        <v>32011</v>
      </c>
      <c r="Z237" s="125">
        <v>31924</v>
      </c>
    </row>
    <row r="238" spans="2:35" x14ac:dyDescent="0.2">
      <c r="B238" s="125" t="s">
        <v>212</v>
      </c>
      <c r="C238" s="125">
        <f t="shared" si="12"/>
        <v>3544</v>
      </c>
      <c r="D238" s="125">
        <f t="shared" si="12"/>
        <v>4425.7142857142853</v>
      </c>
      <c r="E238" s="125">
        <f t="shared" si="13"/>
        <v>2583777.2800000003</v>
      </c>
      <c r="F238" s="125">
        <f t="shared" si="14"/>
        <v>4821152.5</v>
      </c>
      <c r="G238" s="125">
        <f t="shared" si="15"/>
        <v>45178000</v>
      </c>
      <c r="H238" s="125">
        <v>285</v>
      </c>
      <c r="I238" s="125">
        <v>42986</v>
      </c>
      <c r="J238" s="125">
        <v>1907</v>
      </c>
      <c r="K238" s="125">
        <v>6951</v>
      </c>
      <c r="L238" s="125">
        <v>10527</v>
      </c>
      <c r="M238" s="125">
        <v>4005</v>
      </c>
      <c r="N238" s="125">
        <v>6217</v>
      </c>
      <c r="O238" s="125">
        <v>4899</v>
      </c>
      <c r="P238" s="125">
        <v>4288</v>
      </c>
      <c r="Q238" s="125">
        <v>1845</v>
      </c>
      <c r="R238" s="125">
        <v>2347</v>
      </c>
      <c r="S238" s="125">
        <v>2842</v>
      </c>
      <c r="T238" s="125">
        <v>2927</v>
      </c>
      <c r="U238" s="125">
        <v>1177</v>
      </c>
      <c r="V238" s="125">
        <v>1562</v>
      </c>
      <c r="W238" s="125">
        <v>3089</v>
      </c>
      <c r="X238" s="125">
        <v>3112</v>
      </c>
      <c r="Y238" s="125">
        <v>17959</v>
      </c>
      <c r="Z238" s="125">
        <v>18023</v>
      </c>
      <c r="AH238" s="259"/>
      <c r="AI238" s="259"/>
    </row>
    <row r="239" spans="2:35" x14ac:dyDescent="0.2">
      <c r="B239" s="125" t="s">
        <v>213</v>
      </c>
      <c r="C239" s="125">
        <f t="shared" si="12"/>
        <v>10205.714285714286</v>
      </c>
      <c r="D239" s="125">
        <f t="shared" si="12"/>
        <v>12266</v>
      </c>
      <c r="E239" s="125">
        <f t="shared" si="13"/>
        <v>2523852.8000000003</v>
      </c>
      <c r="F239" s="125">
        <f t="shared" si="14"/>
        <v>4709337.5</v>
      </c>
      <c r="G239" s="125">
        <f t="shared" si="15"/>
        <v>27134000</v>
      </c>
      <c r="H239" s="125">
        <v>2425</v>
      </c>
      <c r="I239" s="125">
        <v>23923</v>
      </c>
      <c r="J239" s="125">
        <v>786</v>
      </c>
      <c r="K239" s="125">
        <v>5247</v>
      </c>
      <c r="L239" s="125">
        <v>4716</v>
      </c>
      <c r="M239" s="125">
        <v>12629</v>
      </c>
      <c r="N239" s="125">
        <v>17497</v>
      </c>
      <c r="O239" s="125">
        <v>5084</v>
      </c>
      <c r="P239" s="125">
        <v>7514</v>
      </c>
      <c r="Q239" s="125">
        <v>9557</v>
      </c>
      <c r="R239" s="125">
        <v>10895</v>
      </c>
      <c r="S239" s="125">
        <v>27600</v>
      </c>
      <c r="T239" s="125">
        <v>33053</v>
      </c>
      <c r="U239" s="125">
        <v>4339</v>
      </c>
      <c r="V239" s="125">
        <v>4661</v>
      </c>
      <c r="W239" s="125">
        <v>6984</v>
      </c>
      <c r="X239" s="125">
        <v>7526</v>
      </c>
      <c r="Y239" s="125">
        <v>17530</v>
      </c>
      <c r="Z239" s="125">
        <v>17605</v>
      </c>
    </row>
    <row r="240" spans="2:35" x14ac:dyDescent="0.2">
      <c r="B240" s="125" t="s">
        <v>497</v>
      </c>
      <c r="C240" s="125">
        <f t="shared" si="12"/>
        <v>34.571428571428569</v>
      </c>
      <c r="D240" s="125">
        <f t="shared" si="12"/>
        <v>20.714285714285715</v>
      </c>
      <c r="E240" s="125">
        <f t="shared" si="13"/>
        <v>1126092.8</v>
      </c>
      <c r="F240" s="125">
        <f t="shared" si="14"/>
        <v>2101212.5</v>
      </c>
      <c r="G240" s="125">
        <f t="shared" si="15"/>
        <v>10411000</v>
      </c>
      <c r="H240" s="125">
        <v>8</v>
      </c>
      <c r="I240" s="125">
        <v>10253</v>
      </c>
      <c r="J240" s="125">
        <v>150</v>
      </c>
      <c r="K240" s="125">
        <v>36</v>
      </c>
      <c r="L240" s="125">
        <v>12</v>
      </c>
      <c r="M240" s="125">
        <v>5</v>
      </c>
      <c r="N240" s="125">
        <v>5</v>
      </c>
      <c r="O240" s="125">
        <v>13</v>
      </c>
      <c r="P240" s="125">
        <v>49</v>
      </c>
      <c r="Q240" s="125">
        <v>9</v>
      </c>
      <c r="R240" s="125">
        <v>9</v>
      </c>
      <c r="S240" s="125">
        <v>5</v>
      </c>
      <c r="T240" s="125">
        <v>6</v>
      </c>
      <c r="U240" s="125">
        <v>5</v>
      </c>
      <c r="V240" s="125">
        <v>9</v>
      </c>
      <c r="W240" s="125">
        <v>169</v>
      </c>
      <c r="X240" s="125">
        <v>55</v>
      </c>
      <c r="Y240" s="125">
        <v>7860</v>
      </c>
      <c r="Z240" s="125">
        <v>7855</v>
      </c>
    </row>
    <row r="241" spans="2:26" x14ac:dyDescent="0.2">
      <c r="B241" s="125" t="s">
        <v>257</v>
      </c>
      <c r="C241" s="125">
        <f t="shared" si="12"/>
        <v>5491.1428571428569</v>
      </c>
      <c r="D241" s="125">
        <f t="shared" si="12"/>
        <v>6028.1428571428569</v>
      </c>
      <c r="E241" s="125">
        <f t="shared" si="13"/>
        <v>4253921.2800000003</v>
      </c>
      <c r="F241" s="125">
        <f t="shared" si="14"/>
        <v>7937527.5</v>
      </c>
      <c r="G241" s="125">
        <f t="shared" si="15"/>
        <v>86296000</v>
      </c>
      <c r="H241" s="125">
        <v>674</v>
      </c>
      <c r="I241" s="125">
        <v>85188</v>
      </c>
      <c r="J241" s="125">
        <v>434</v>
      </c>
      <c r="K241" s="125">
        <v>21853</v>
      </c>
      <c r="L241" s="125">
        <v>21992</v>
      </c>
      <c r="M241" s="125">
        <v>3933</v>
      </c>
      <c r="N241" s="125">
        <v>5003</v>
      </c>
      <c r="O241" s="125">
        <v>5989</v>
      </c>
      <c r="P241" s="125">
        <v>5493</v>
      </c>
      <c r="Q241" s="125">
        <v>3154</v>
      </c>
      <c r="R241" s="125">
        <v>3484</v>
      </c>
      <c r="S241" s="125">
        <v>1265</v>
      </c>
      <c r="T241" s="125">
        <v>2520</v>
      </c>
      <c r="U241" s="125">
        <v>2095</v>
      </c>
      <c r="V241" s="125">
        <v>3022</v>
      </c>
      <c r="W241" s="125">
        <v>149</v>
      </c>
      <c r="X241" s="125">
        <v>683</v>
      </c>
      <c r="Y241" s="125">
        <v>29632</v>
      </c>
      <c r="Z241" s="125">
        <v>29673</v>
      </c>
    </row>
    <row r="242" spans="2:26" x14ac:dyDescent="0.2">
      <c r="B242" s="125" t="s">
        <v>456</v>
      </c>
      <c r="C242" s="125">
        <f t="shared" si="12"/>
        <v>14991.857142857143</v>
      </c>
      <c r="D242" s="125">
        <f t="shared" si="12"/>
        <v>14457.285714285714</v>
      </c>
      <c r="E242" s="125">
        <f t="shared" si="13"/>
        <v>7909027.8400000008</v>
      </c>
      <c r="F242" s="125">
        <f t="shared" si="14"/>
        <v>14757707.5</v>
      </c>
      <c r="G242" s="125">
        <f t="shared" si="15"/>
        <v>167882000</v>
      </c>
      <c r="H242" s="125">
        <v>1979</v>
      </c>
      <c r="I242" s="125">
        <v>163827</v>
      </c>
      <c r="J242" s="125">
        <v>2076</v>
      </c>
      <c r="K242" s="125">
        <v>11975</v>
      </c>
      <c r="L242" s="125">
        <v>10546</v>
      </c>
      <c r="M242" s="125">
        <v>21093</v>
      </c>
      <c r="N242" s="125">
        <v>21890</v>
      </c>
      <c r="O242" s="125">
        <v>10123</v>
      </c>
      <c r="P242" s="125">
        <v>12038</v>
      </c>
      <c r="Q242" s="125">
        <v>23233</v>
      </c>
      <c r="R242" s="125">
        <v>24255</v>
      </c>
      <c r="S242" s="125">
        <v>10003</v>
      </c>
      <c r="T242" s="125">
        <v>10180</v>
      </c>
      <c r="U242" s="125">
        <v>15572</v>
      </c>
      <c r="V242" s="125">
        <v>10398</v>
      </c>
      <c r="W242" s="125">
        <v>12944</v>
      </c>
      <c r="X242" s="125">
        <v>11894</v>
      </c>
      <c r="Y242" s="125">
        <v>54604</v>
      </c>
      <c r="Z242" s="125">
        <v>55169</v>
      </c>
    </row>
    <row r="243" spans="2:26" x14ac:dyDescent="0.2">
      <c r="B243" s="125" t="s">
        <v>191</v>
      </c>
      <c r="C243" s="125">
        <f t="shared" si="12"/>
        <v>1836.5714285714287</v>
      </c>
      <c r="D243" s="125">
        <f t="shared" si="12"/>
        <v>2657.7142857142858</v>
      </c>
      <c r="E243" s="125">
        <f t="shared" si="13"/>
        <v>3649658.8800000004</v>
      </c>
      <c r="F243" s="125">
        <f t="shared" si="14"/>
        <v>6810015</v>
      </c>
      <c r="G243" s="125">
        <f t="shared" si="15"/>
        <v>62419000</v>
      </c>
      <c r="H243" s="125">
        <v>1669</v>
      </c>
      <c r="I243" s="125">
        <v>60587</v>
      </c>
      <c r="J243" s="125">
        <v>163</v>
      </c>
      <c r="K243" s="125">
        <v>706</v>
      </c>
      <c r="L243" s="125">
        <v>1155</v>
      </c>
      <c r="M243" s="125">
        <v>2254</v>
      </c>
      <c r="N243" s="125">
        <v>2403</v>
      </c>
      <c r="O243" s="125">
        <v>3766</v>
      </c>
      <c r="P243" s="125">
        <v>4916</v>
      </c>
      <c r="Q243" s="125">
        <v>1405</v>
      </c>
      <c r="R243" s="125">
        <v>2555</v>
      </c>
      <c r="S243" s="125">
        <v>822</v>
      </c>
      <c r="T243" s="125">
        <v>1871</v>
      </c>
      <c r="U243" s="125">
        <v>1885</v>
      </c>
      <c r="V243" s="125">
        <v>3834</v>
      </c>
      <c r="W243" s="125">
        <v>2018</v>
      </c>
      <c r="X243" s="125">
        <v>1870</v>
      </c>
      <c r="Y243" s="125">
        <v>25543</v>
      </c>
      <c r="Z243" s="125">
        <v>25458</v>
      </c>
    </row>
    <row r="244" spans="2:26" x14ac:dyDescent="0.2">
      <c r="B244" s="125" t="s">
        <v>330</v>
      </c>
      <c r="C244" s="125">
        <f t="shared" si="12"/>
        <v>4753</v>
      </c>
      <c r="D244" s="125">
        <f t="shared" si="12"/>
        <v>3960.2857142857142</v>
      </c>
      <c r="E244" s="125">
        <f t="shared" si="13"/>
        <v>1395609.6000000001</v>
      </c>
      <c r="F244" s="125">
        <f t="shared" si="14"/>
        <v>2604112.5</v>
      </c>
      <c r="G244" s="125">
        <f t="shared" si="15"/>
        <v>33586000</v>
      </c>
      <c r="H244" s="125">
        <v>590</v>
      </c>
      <c r="I244" s="125">
        <v>32940</v>
      </c>
      <c r="J244" s="125">
        <v>56</v>
      </c>
      <c r="K244" s="125">
        <v>9028</v>
      </c>
      <c r="L244" s="125">
        <v>8391</v>
      </c>
      <c r="M244" s="125">
        <v>7791</v>
      </c>
      <c r="N244" s="125">
        <v>6936</v>
      </c>
      <c r="O244" s="125">
        <v>7320</v>
      </c>
      <c r="P244" s="125">
        <v>5058</v>
      </c>
      <c r="Q244" s="125">
        <v>6476</v>
      </c>
      <c r="R244" s="125">
        <v>5038</v>
      </c>
      <c r="S244" s="125">
        <v>1288</v>
      </c>
      <c r="T244" s="125">
        <v>1190</v>
      </c>
      <c r="U244" s="125">
        <v>520</v>
      </c>
      <c r="V244" s="125">
        <v>-85</v>
      </c>
      <c r="W244" s="125">
        <v>848</v>
      </c>
      <c r="X244" s="125">
        <v>1194</v>
      </c>
      <c r="Y244" s="125">
        <v>9653</v>
      </c>
      <c r="Z244" s="125">
        <v>9735</v>
      </c>
    </row>
    <row r="245" spans="2:26" x14ac:dyDescent="0.2">
      <c r="B245" s="125" t="s">
        <v>331</v>
      </c>
      <c r="C245" s="125">
        <f t="shared" si="12"/>
        <v>2139.8571428571427</v>
      </c>
      <c r="D245" s="125">
        <f t="shared" si="12"/>
        <v>2177</v>
      </c>
      <c r="E245" s="125">
        <f t="shared" si="13"/>
        <v>1652510.7200000002</v>
      </c>
      <c r="F245" s="125">
        <f t="shared" si="14"/>
        <v>3083472.5</v>
      </c>
      <c r="G245" s="125">
        <f t="shared" si="15"/>
        <v>39389000</v>
      </c>
      <c r="H245" s="125">
        <v>413</v>
      </c>
      <c r="I245" s="125">
        <v>38599</v>
      </c>
      <c r="J245" s="125">
        <v>377</v>
      </c>
      <c r="K245" s="125">
        <v>806</v>
      </c>
      <c r="L245" s="125">
        <v>750</v>
      </c>
      <c r="M245" s="125">
        <v>457</v>
      </c>
      <c r="N245" s="125">
        <v>752</v>
      </c>
      <c r="O245" s="125">
        <v>6193</v>
      </c>
      <c r="P245" s="125">
        <v>6425</v>
      </c>
      <c r="Q245" s="125">
        <v>3006</v>
      </c>
      <c r="R245" s="125">
        <v>2859</v>
      </c>
      <c r="S245" s="125">
        <v>1153</v>
      </c>
      <c r="T245" s="125">
        <v>1474</v>
      </c>
      <c r="U245" s="125">
        <v>1133</v>
      </c>
      <c r="V245" s="125">
        <v>882</v>
      </c>
      <c r="W245" s="125">
        <v>2231</v>
      </c>
      <c r="X245" s="125">
        <v>2097</v>
      </c>
      <c r="Y245" s="125">
        <v>11421</v>
      </c>
      <c r="Z245" s="125">
        <v>11527</v>
      </c>
    </row>
    <row r="246" spans="2:26" x14ac:dyDescent="0.2">
      <c r="B246" s="125" t="s">
        <v>192</v>
      </c>
      <c r="C246" s="125">
        <f t="shared" si="12"/>
        <v>2463.1428571428573</v>
      </c>
      <c r="D246" s="125">
        <f t="shared" si="12"/>
        <v>2458.5714285714284</v>
      </c>
      <c r="E246" s="125">
        <f t="shared" si="13"/>
        <v>4266680.3200000003</v>
      </c>
      <c r="F246" s="125">
        <f t="shared" si="14"/>
        <v>7961335</v>
      </c>
      <c r="G246" s="125">
        <f t="shared" si="15"/>
        <v>66542000</v>
      </c>
      <c r="H246" s="125">
        <v>1397</v>
      </c>
      <c r="I246" s="125">
        <v>64826</v>
      </c>
      <c r="J246" s="125">
        <v>319</v>
      </c>
      <c r="K246" s="125">
        <v>5055</v>
      </c>
      <c r="L246" s="125">
        <v>4426</v>
      </c>
      <c r="M246" s="125">
        <v>3426</v>
      </c>
      <c r="N246" s="125">
        <v>2754</v>
      </c>
      <c r="O246" s="125">
        <v>2879</v>
      </c>
      <c r="P246" s="125">
        <v>5542</v>
      </c>
      <c r="Q246" s="125">
        <v>2318</v>
      </c>
      <c r="R246" s="125">
        <v>1785</v>
      </c>
      <c r="S246" s="125">
        <v>1061</v>
      </c>
      <c r="T246" s="125">
        <v>879</v>
      </c>
      <c r="U246" s="125">
        <v>820</v>
      </c>
      <c r="V246" s="125">
        <v>563</v>
      </c>
      <c r="W246" s="125">
        <v>1683</v>
      </c>
      <c r="X246" s="125">
        <v>1261</v>
      </c>
      <c r="Y246" s="125">
        <v>29720</v>
      </c>
      <c r="Z246" s="125">
        <v>29762</v>
      </c>
    </row>
    <row r="247" spans="2:26" x14ac:dyDescent="0.2">
      <c r="B247" s="125" t="s">
        <v>457</v>
      </c>
      <c r="C247" s="125">
        <f t="shared" si="12"/>
        <v>32295.407831742348</v>
      </c>
      <c r="D247" s="125">
        <f t="shared" si="12"/>
        <v>36069.605499947</v>
      </c>
      <c r="E247" s="125">
        <f t="shared" si="13"/>
        <v>13041889.280000001</v>
      </c>
      <c r="F247" s="125">
        <f t="shared" si="14"/>
        <v>24335277.5</v>
      </c>
      <c r="G247" s="125">
        <f t="shared" si="15"/>
        <v>193930464.01985112</v>
      </c>
      <c r="H247" s="125">
        <v>457.98174406238923</v>
      </c>
      <c r="I247" s="125">
        <v>190409.49946827366</v>
      </c>
      <c r="J247" s="125">
        <v>3062.9828075150654</v>
      </c>
      <c r="K247" s="125">
        <v>37711.571074087202</v>
      </c>
      <c r="L247" s="125">
        <v>41133.414037575327</v>
      </c>
      <c r="M247" s="125">
        <v>45102.608294930877</v>
      </c>
      <c r="N247" s="125">
        <v>53987.94718185041</v>
      </c>
      <c r="O247" s="125">
        <v>48782.825239276848</v>
      </c>
      <c r="P247" s="125">
        <v>50611.221907125131</v>
      </c>
      <c r="Q247" s="125">
        <v>27031.292095001772</v>
      </c>
      <c r="R247" s="125">
        <v>27827.138957816376</v>
      </c>
      <c r="S247" s="125">
        <v>21890.558118899735</v>
      </c>
      <c r="T247" s="125">
        <v>23160.516415261758</v>
      </c>
      <c r="U247" s="125">
        <v>18770</v>
      </c>
      <c r="V247" s="125">
        <v>20993</v>
      </c>
      <c r="W247" s="125">
        <v>26779</v>
      </c>
      <c r="X247" s="125">
        <v>34774</v>
      </c>
      <c r="Y247" s="125">
        <v>90364</v>
      </c>
      <c r="Z247" s="125">
        <v>90973</v>
      </c>
    </row>
    <row r="248" spans="2:26" x14ac:dyDescent="0.2">
      <c r="B248" s="125" t="s">
        <v>382</v>
      </c>
      <c r="C248" s="125">
        <f t="shared" si="12"/>
        <v>5300.4285714285716</v>
      </c>
      <c r="D248" s="125">
        <f t="shared" si="12"/>
        <v>5750.1428571428569</v>
      </c>
      <c r="E248" s="125">
        <f t="shared" si="13"/>
        <v>3483217.9200000004</v>
      </c>
      <c r="F248" s="125">
        <f t="shared" si="14"/>
        <v>6499447.5</v>
      </c>
      <c r="G248" s="125">
        <f t="shared" si="15"/>
        <v>56266000</v>
      </c>
      <c r="H248" s="125">
        <v>0</v>
      </c>
      <c r="I248" s="125">
        <v>52248</v>
      </c>
      <c r="J248" s="125">
        <v>4018</v>
      </c>
      <c r="K248" s="125">
        <v>2184</v>
      </c>
      <c r="L248" s="125">
        <v>3876</v>
      </c>
      <c r="M248" s="125">
        <v>9047</v>
      </c>
      <c r="N248" s="125">
        <v>10002</v>
      </c>
      <c r="O248" s="125">
        <v>4725</v>
      </c>
      <c r="P248" s="125">
        <v>5055</v>
      </c>
      <c r="Q248" s="125">
        <v>7081</v>
      </c>
      <c r="R248" s="125">
        <v>7474</v>
      </c>
      <c r="S248" s="125">
        <v>3165</v>
      </c>
      <c r="T248" s="125">
        <v>2927</v>
      </c>
      <c r="U248" s="125">
        <v>4878</v>
      </c>
      <c r="V248" s="125">
        <v>4892</v>
      </c>
      <c r="W248" s="125">
        <v>6023</v>
      </c>
      <c r="X248" s="125">
        <v>6025</v>
      </c>
      <c r="Y248" s="125">
        <v>24021</v>
      </c>
      <c r="Z248" s="125">
        <v>24297</v>
      </c>
    </row>
    <row r="249" spans="2:26" x14ac:dyDescent="0.2">
      <c r="B249" s="125" t="s">
        <v>258</v>
      </c>
      <c r="C249" s="125">
        <f t="shared" si="12"/>
        <v>13253.571428571429</v>
      </c>
      <c r="D249" s="125">
        <f t="shared" si="12"/>
        <v>17535.571428571428</v>
      </c>
      <c r="E249" s="125">
        <f t="shared" si="13"/>
        <v>5666877.4400000004</v>
      </c>
      <c r="F249" s="125">
        <f t="shared" si="14"/>
        <v>10574007.5</v>
      </c>
      <c r="G249" s="125">
        <f t="shared" si="15"/>
        <v>121755000</v>
      </c>
      <c r="H249" s="125">
        <v>7687</v>
      </c>
      <c r="I249" s="125">
        <v>113722</v>
      </c>
      <c r="J249" s="125">
        <v>346</v>
      </c>
      <c r="K249" s="125">
        <v>15049</v>
      </c>
      <c r="L249" s="125">
        <v>28582</v>
      </c>
      <c r="M249" s="125">
        <v>9596</v>
      </c>
      <c r="N249" s="125">
        <v>12733</v>
      </c>
      <c r="O249" s="125">
        <v>31440</v>
      </c>
      <c r="P249" s="125">
        <v>33529</v>
      </c>
      <c r="Q249" s="125">
        <v>8660</v>
      </c>
      <c r="R249" s="125">
        <v>9749</v>
      </c>
      <c r="S249" s="125">
        <v>11264</v>
      </c>
      <c r="T249" s="125">
        <v>16095</v>
      </c>
      <c r="U249" s="125">
        <v>8628</v>
      </c>
      <c r="V249" s="125">
        <v>13208</v>
      </c>
      <c r="W249" s="125">
        <v>8138</v>
      </c>
      <c r="X249" s="125">
        <v>8853</v>
      </c>
      <c r="Y249" s="125">
        <v>39569</v>
      </c>
      <c r="Z249" s="125">
        <v>39529</v>
      </c>
    </row>
    <row r="250" spans="2:26" x14ac:dyDescent="0.2">
      <c r="B250" s="125" t="s">
        <v>332</v>
      </c>
      <c r="C250" s="125">
        <f t="shared" si="12"/>
        <v>624.57142857142856</v>
      </c>
      <c r="D250" s="125">
        <f t="shared" si="12"/>
        <v>452.28571428571428</v>
      </c>
      <c r="E250" s="125">
        <f t="shared" si="13"/>
        <v>1933783.0400000003</v>
      </c>
      <c r="F250" s="125">
        <f t="shared" si="14"/>
        <v>3608307.5</v>
      </c>
      <c r="G250" s="125">
        <f t="shared" si="15"/>
        <v>18380000</v>
      </c>
      <c r="H250" s="125">
        <v>144</v>
      </c>
      <c r="I250" s="125">
        <v>18236</v>
      </c>
      <c r="J250" s="125">
        <v>0</v>
      </c>
      <c r="K250" s="125">
        <v>24</v>
      </c>
      <c r="L250" s="125">
        <v>0</v>
      </c>
      <c r="M250" s="125">
        <v>2703</v>
      </c>
      <c r="N250" s="125">
        <v>2703</v>
      </c>
      <c r="O250" s="125">
        <v>0</v>
      </c>
      <c r="P250" s="125">
        <v>0</v>
      </c>
      <c r="Q250" s="125">
        <v>1</v>
      </c>
      <c r="R250" s="125">
        <v>3</v>
      </c>
      <c r="S250" s="125">
        <v>0</v>
      </c>
      <c r="T250" s="125">
        <v>0</v>
      </c>
      <c r="U250" s="125">
        <v>1200</v>
      </c>
      <c r="V250" s="125">
        <v>0</v>
      </c>
      <c r="W250" s="125">
        <v>444</v>
      </c>
      <c r="X250" s="125">
        <v>460</v>
      </c>
      <c r="Y250" s="125">
        <v>13428</v>
      </c>
      <c r="Z250" s="125">
        <v>13489</v>
      </c>
    </row>
    <row r="251" spans="2:26" x14ac:dyDescent="0.2">
      <c r="B251" s="125" t="s">
        <v>288</v>
      </c>
      <c r="C251" s="125">
        <f t="shared" si="12"/>
        <v>767.57142857142856</v>
      </c>
      <c r="D251" s="125">
        <f t="shared" si="12"/>
        <v>622.28571428571433</v>
      </c>
      <c r="E251" s="125">
        <f t="shared" si="13"/>
        <v>1458974.7200000002</v>
      </c>
      <c r="F251" s="125">
        <f t="shared" si="14"/>
        <v>2722347.5</v>
      </c>
      <c r="G251" s="125">
        <f t="shared" si="15"/>
        <v>23387000</v>
      </c>
      <c r="H251" s="125">
        <v>67</v>
      </c>
      <c r="I251" s="125">
        <v>23320</v>
      </c>
      <c r="J251" s="125">
        <v>0</v>
      </c>
      <c r="K251" s="125">
        <v>601</v>
      </c>
      <c r="L251" s="125">
        <v>911</v>
      </c>
      <c r="M251" s="125">
        <v>700</v>
      </c>
      <c r="N251" s="125">
        <v>851</v>
      </c>
      <c r="O251" s="125">
        <v>1345</v>
      </c>
      <c r="P251" s="125">
        <v>762</v>
      </c>
      <c r="Q251" s="125">
        <v>1027</v>
      </c>
      <c r="R251" s="125">
        <v>437</v>
      </c>
      <c r="S251" s="125">
        <v>785</v>
      </c>
      <c r="T251" s="125">
        <v>980</v>
      </c>
      <c r="U251" s="125">
        <v>642</v>
      </c>
      <c r="V251" s="125">
        <v>142</v>
      </c>
      <c r="W251" s="125">
        <v>273</v>
      </c>
      <c r="X251" s="125">
        <v>273</v>
      </c>
      <c r="Y251" s="125">
        <v>10185</v>
      </c>
      <c r="Z251" s="125">
        <v>10177</v>
      </c>
    </row>
    <row r="252" spans="2:26" x14ac:dyDescent="0.2">
      <c r="B252" s="125" t="s">
        <v>259</v>
      </c>
      <c r="C252" s="125">
        <f t="shared" ref="C252:D313" si="16">SUM(K252,M252,O252,Q252,S252,U252,W252)/7</f>
        <v>14755.571428571429</v>
      </c>
      <c r="D252" s="125">
        <f t="shared" si="16"/>
        <v>17826.428571428572</v>
      </c>
      <c r="E252" s="125">
        <f t="shared" ref="E252:E313" si="17">Z252*143.36</f>
        <v>6808596.4800000004</v>
      </c>
      <c r="F252" s="125">
        <f t="shared" ref="F252:F313" si="18">Z252*$AB$3</f>
        <v>12704377.5</v>
      </c>
      <c r="G252" s="125">
        <f t="shared" si="15"/>
        <v>110326000</v>
      </c>
      <c r="H252" s="125">
        <v>702</v>
      </c>
      <c r="I252" s="125">
        <v>107735</v>
      </c>
      <c r="J252" s="125">
        <v>1889</v>
      </c>
      <c r="K252" s="125">
        <v>5260</v>
      </c>
      <c r="L252" s="125">
        <v>8075</v>
      </c>
      <c r="M252" s="125">
        <v>2450</v>
      </c>
      <c r="N252" s="125">
        <v>10309</v>
      </c>
      <c r="O252" s="125">
        <v>11908</v>
      </c>
      <c r="P252" s="125">
        <v>17022</v>
      </c>
      <c r="Q252" s="125">
        <v>22919</v>
      </c>
      <c r="R252" s="125">
        <v>26042</v>
      </c>
      <c r="S252" s="125">
        <v>8801</v>
      </c>
      <c r="T252" s="125">
        <v>22812</v>
      </c>
      <c r="U252" s="125">
        <v>21414</v>
      </c>
      <c r="V252" s="125">
        <v>20544</v>
      </c>
      <c r="W252" s="125">
        <v>30537</v>
      </c>
      <c r="X252" s="125">
        <v>19981</v>
      </c>
      <c r="Y252" s="125">
        <v>47388</v>
      </c>
      <c r="Z252" s="125">
        <v>47493</v>
      </c>
    </row>
    <row r="253" spans="2:26" x14ac:dyDescent="0.2">
      <c r="B253" s="125" t="s">
        <v>383</v>
      </c>
      <c r="C253" s="125">
        <f t="shared" si="16"/>
        <v>15950.428571428571</v>
      </c>
      <c r="D253" s="125">
        <f t="shared" si="16"/>
        <v>16747</v>
      </c>
      <c r="E253" s="125">
        <f t="shared" si="17"/>
        <v>4625653.7600000007</v>
      </c>
      <c r="F253" s="125">
        <f t="shared" si="18"/>
        <v>8631155</v>
      </c>
      <c r="G253" s="125">
        <f t="shared" si="15"/>
        <v>98670000</v>
      </c>
      <c r="H253" s="125">
        <v>0</v>
      </c>
      <c r="I253" s="125">
        <v>96860</v>
      </c>
      <c r="J253" s="125">
        <v>1810</v>
      </c>
      <c r="K253" s="125">
        <v>21646</v>
      </c>
      <c r="L253" s="125">
        <v>21600</v>
      </c>
      <c r="M253" s="125">
        <v>20010</v>
      </c>
      <c r="N253" s="125">
        <v>20978</v>
      </c>
      <c r="O253" s="125">
        <v>16801</v>
      </c>
      <c r="P253" s="125">
        <v>17915</v>
      </c>
      <c r="Q253" s="125">
        <v>8527</v>
      </c>
      <c r="R253" s="125">
        <v>12824</v>
      </c>
      <c r="S253" s="125">
        <v>16933</v>
      </c>
      <c r="T253" s="125">
        <v>17939</v>
      </c>
      <c r="U253" s="125">
        <v>13026</v>
      </c>
      <c r="V253" s="125">
        <v>12240</v>
      </c>
      <c r="W253" s="125">
        <v>14710</v>
      </c>
      <c r="X253" s="125">
        <v>13733</v>
      </c>
      <c r="Y253" s="125">
        <v>32286</v>
      </c>
      <c r="Z253" s="125">
        <v>32266</v>
      </c>
    </row>
    <row r="254" spans="2:26" x14ac:dyDescent="0.2">
      <c r="B254" s="125" t="s">
        <v>498</v>
      </c>
      <c r="C254" s="125">
        <f t="shared" si="16"/>
        <v>12247.714285714286</v>
      </c>
      <c r="D254" s="125">
        <f t="shared" si="16"/>
        <v>12892.142857142857</v>
      </c>
      <c r="E254" s="125">
        <f t="shared" si="17"/>
        <v>6209638.4000000004</v>
      </c>
      <c r="F254" s="125">
        <f t="shared" si="18"/>
        <v>11586762.5</v>
      </c>
      <c r="G254" s="125">
        <f t="shared" si="15"/>
        <v>121426000</v>
      </c>
      <c r="H254" s="125">
        <v>4104</v>
      </c>
      <c r="I254" s="125">
        <v>114643</v>
      </c>
      <c r="J254" s="125">
        <v>2679</v>
      </c>
      <c r="K254" s="125">
        <v>18145</v>
      </c>
      <c r="L254" s="125">
        <v>17525</v>
      </c>
      <c r="M254" s="125">
        <v>8797</v>
      </c>
      <c r="N254" s="125">
        <v>7863</v>
      </c>
      <c r="O254" s="125">
        <v>13326</v>
      </c>
      <c r="P254" s="125">
        <v>14624</v>
      </c>
      <c r="Q254" s="125">
        <v>14267</v>
      </c>
      <c r="R254" s="125">
        <v>15290</v>
      </c>
      <c r="S254" s="125">
        <v>15165</v>
      </c>
      <c r="T254" s="125">
        <v>15525</v>
      </c>
      <c r="U254" s="125">
        <v>8228</v>
      </c>
      <c r="V254" s="125">
        <v>10920</v>
      </c>
      <c r="W254" s="125">
        <v>7806</v>
      </c>
      <c r="X254" s="125">
        <v>8498</v>
      </c>
      <c r="Y254" s="125">
        <v>43354</v>
      </c>
      <c r="Z254" s="125">
        <v>43315</v>
      </c>
    </row>
    <row r="255" spans="2:26" x14ac:dyDescent="0.2">
      <c r="B255" s="125" t="s">
        <v>171</v>
      </c>
      <c r="C255" s="125">
        <f t="shared" si="16"/>
        <v>189.85714285714286</v>
      </c>
      <c r="D255" s="125">
        <f t="shared" si="16"/>
        <v>241</v>
      </c>
      <c r="E255" s="125">
        <f t="shared" si="17"/>
        <v>1756590.0800000001</v>
      </c>
      <c r="F255" s="125">
        <f t="shared" si="18"/>
        <v>3277677.5</v>
      </c>
      <c r="G255" s="125">
        <f t="shared" si="15"/>
        <v>26650000</v>
      </c>
      <c r="H255" s="125">
        <v>28</v>
      </c>
      <c r="I255" s="125">
        <v>26422</v>
      </c>
      <c r="J255" s="125">
        <v>200</v>
      </c>
      <c r="K255" s="125">
        <v>402</v>
      </c>
      <c r="L255" s="125">
        <v>441</v>
      </c>
      <c r="M255" s="125">
        <v>11</v>
      </c>
      <c r="N255" s="125">
        <v>47</v>
      </c>
      <c r="O255" s="125">
        <v>11</v>
      </c>
      <c r="P255" s="125">
        <v>112</v>
      </c>
      <c r="Q255" s="125">
        <v>7</v>
      </c>
      <c r="R255" s="125">
        <v>438</v>
      </c>
      <c r="S255" s="125">
        <v>600</v>
      </c>
      <c r="T255" s="125">
        <v>393</v>
      </c>
      <c r="U255" s="125">
        <v>20</v>
      </c>
      <c r="V255" s="125">
        <v>224</v>
      </c>
      <c r="W255" s="125">
        <v>278</v>
      </c>
      <c r="X255" s="125">
        <v>32</v>
      </c>
      <c r="Y255" s="125">
        <v>12548</v>
      </c>
      <c r="Z255" s="125">
        <v>12253</v>
      </c>
    </row>
    <row r="256" spans="2:26" x14ac:dyDescent="0.2">
      <c r="B256" s="125" t="s">
        <v>384</v>
      </c>
      <c r="C256" s="125">
        <f t="shared" si="16"/>
        <v>33752.428571428572</v>
      </c>
      <c r="D256" s="125">
        <f t="shared" si="16"/>
        <v>36565.428571428572</v>
      </c>
      <c r="E256" s="125">
        <f t="shared" si="17"/>
        <v>7690403.8400000008</v>
      </c>
      <c r="F256" s="125">
        <f t="shared" si="18"/>
        <v>14349770</v>
      </c>
      <c r="G256" s="125">
        <f t="shared" si="15"/>
        <v>129508000</v>
      </c>
      <c r="H256" s="125">
        <v>0</v>
      </c>
      <c r="I256" s="125">
        <v>128902</v>
      </c>
      <c r="J256" s="125">
        <v>606</v>
      </c>
      <c r="K256" s="125">
        <v>40732</v>
      </c>
      <c r="L256" s="125">
        <v>30736</v>
      </c>
      <c r="M256" s="125">
        <v>76591</v>
      </c>
      <c r="N256" s="125">
        <v>82598</v>
      </c>
      <c r="O256" s="125">
        <v>21584</v>
      </c>
      <c r="P256" s="125">
        <v>24110</v>
      </c>
      <c r="Q256" s="125">
        <v>30020</v>
      </c>
      <c r="R256" s="125">
        <v>41192</v>
      </c>
      <c r="S256" s="125">
        <v>13414</v>
      </c>
      <c r="T256" s="125">
        <v>19038</v>
      </c>
      <c r="U256" s="125">
        <v>21146</v>
      </c>
      <c r="V256" s="125">
        <v>23035</v>
      </c>
      <c r="W256" s="125">
        <v>32780</v>
      </c>
      <c r="X256" s="125">
        <v>35249</v>
      </c>
      <c r="Y256" s="125">
        <v>52670</v>
      </c>
      <c r="Z256" s="125">
        <v>53644</v>
      </c>
    </row>
    <row r="257" spans="2:26" x14ac:dyDescent="0.2">
      <c r="B257" s="125" t="s">
        <v>333</v>
      </c>
      <c r="C257" s="125">
        <f t="shared" si="16"/>
        <v>15899.571428571429</v>
      </c>
      <c r="D257" s="125">
        <f t="shared" si="16"/>
        <v>13816.142857142857</v>
      </c>
      <c r="E257" s="125">
        <f t="shared" si="17"/>
        <v>11462922.24</v>
      </c>
      <c r="F257" s="125">
        <f t="shared" si="18"/>
        <v>21389032.5</v>
      </c>
      <c r="G257" s="125">
        <f t="shared" si="15"/>
        <v>245298000</v>
      </c>
      <c r="H257" s="125">
        <v>440</v>
      </c>
      <c r="I257" s="125">
        <v>206547</v>
      </c>
      <c r="J257" s="125">
        <v>38311</v>
      </c>
      <c r="K257" s="125">
        <v>19320</v>
      </c>
      <c r="L257" s="125">
        <v>10187</v>
      </c>
      <c r="M257" s="125">
        <v>6497</v>
      </c>
      <c r="N257" s="125">
        <v>1585</v>
      </c>
      <c r="O257" s="125">
        <v>6421</v>
      </c>
      <c r="P257" s="125">
        <v>5384</v>
      </c>
      <c r="Q257" s="125">
        <v>16124</v>
      </c>
      <c r="R257" s="125">
        <v>16365</v>
      </c>
      <c r="S257" s="125">
        <v>16995</v>
      </c>
      <c r="T257" s="125">
        <v>23723</v>
      </c>
      <c r="U257" s="125">
        <v>22507</v>
      </c>
      <c r="V257" s="125">
        <v>17974</v>
      </c>
      <c r="W257" s="125">
        <v>23433</v>
      </c>
      <c r="X257" s="125">
        <v>21495</v>
      </c>
      <c r="Y257" s="125">
        <v>79895</v>
      </c>
      <c r="Z257" s="125">
        <v>79959</v>
      </c>
    </row>
    <row r="258" spans="2:26" x14ac:dyDescent="0.2">
      <c r="B258" s="125" t="s">
        <v>260</v>
      </c>
      <c r="C258" s="125">
        <f t="shared" si="16"/>
        <v>3475.4285714285716</v>
      </c>
      <c r="D258" s="125">
        <f t="shared" si="16"/>
        <v>2082.7142857142858</v>
      </c>
      <c r="E258" s="125">
        <f t="shared" si="17"/>
        <v>3486801.9200000004</v>
      </c>
      <c r="F258" s="125">
        <f t="shared" si="18"/>
        <v>6506135</v>
      </c>
      <c r="G258" s="125">
        <f t="shared" si="15"/>
        <v>26428000</v>
      </c>
      <c r="H258" s="125">
        <v>2921</v>
      </c>
      <c r="I258" s="125">
        <v>21489</v>
      </c>
      <c r="J258" s="125">
        <v>2018</v>
      </c>
      <c r="K258" s="125">
        <v>5794</v>
      </c>
      <c r="L258" s="125">
        <v>5793</v>
      </c>
      <c r="M258" s="125">
        <v>4943</v>
      </c>
      <c r="N258" s="125">
        <v>4943</v>
      </c>
      <c r="O258" s="125">
        <v>2142</v>
      </c>
      <c r="P258" s="125">
        <v>2141</v>
      </c>
      <c r="Q258" s="125">
        <v>1963</v>
      </c>
      <c r="R258" s="125">
        <v>964</v>
      </c>
      <c r="S258" s="125">
        <v>4162</v>
      </c>
      <c r="T258" s="125">
        <v>1700</v>
      </c>
      <c r="U258" s="125">
        <v>2981</v>
      </c>
      <c r="V258" s="125">
        <v>-1004</v>
      </c>
      <c r="W258" s="125">
        <v>2343</v>
      </c>
      <c r="X258" s="125">
        <v>42</v>
      </c>
      <c r="Y258" s="125">
        <v>24418</v>
      </c>
      <c r="Z258" s="125">
        <v>24322</v>
      </c>
    </row>
    <row r="259" spans="2:26" x14ac:dyDescent="0.2">
      <c r="B259" s="125" t="s">
        <v>214</v>
      </c>
      <c r="C259" s="125">
        <f t="shared" si="16"/>
        <v>7373.5714285714284</v>
      </c>
      <c r="D259" s="125">
        <f t="shared" si="16"/>
        <v>7992.4285714285716</v>
      </c>
      <c r="E259" s="125">
        <f t="shared" si="17"/>
        <v>5327257.6000000006</v>
      </c>
      <c r="F259" s="125">
        <f t="shared" si="18"/>
        <v>9940300</v>
      </c>
      <c r="G259" s="125">
        <f t="shared" ref="G259:G322" si="19">SUM(H259:J259)*1000</f>
        <v>91076000</v>
      </c>
      <c r="H259" s="125">
        <v>1375</v>
      </c>
      <c r="I259" s="125">
        <v>89317</v>
      </c>
      <c r="J259" s="125">
        <v>384</v>
      </c>
      <c r="K259" s="125">
        <v>3936</v>
      </c>
      <c r="L259" s="125">
        <v>4879</v>
      </c>
      <c r="M259" s="125">
        <v>4105</v>
      </c>
      <c r="N259" s="125">
        <v>10015</v>
      </c>
      <c r="O259" s="125">
        <v>5961</v>
      </c>
      <c r="P259" s="125">
        <v>6972</v>
      </c>
      <c r="Q259" s="125">
        <v>4901</v>
      </c>
      <c r="R259" s="125">
        <v>3060</v>
      </c>
      <c r="S259" s="125">
        <v>22695</v>
      </c>
      <c r="T259" s="125">
        <v>22742</v>
      </c>
      <c r="U259" s="125">
        <v>2747</v>
      </c>
      <c r="V259" s="125">
        <v>3797</v>
      </c>
      <c r="W259" s="125">
        <v>7270</v>
      </c>
      <c r="X259" s="125">
        <v>4482</v>
      </c>
      <c r="Y259" s="125">
        <v>36905</v>
      </c>
      <c r="Z259" s="125">
        <v>37160</v>
      </c>
    </row>
    <row r="260" spans="2:26" x14ac:dyDescent="0.2">
      <c r="B260" s="125" t="s">
        <v>409</v>
      </c>
      <c r="C260" s="125">
        <f t="shared" si="16"/>
        <v>6281.2857142857147</v>
      </c>
      <c r="D260" s="125">
        <f t="shared" si="16"/>
        <v>4966.7142857142853</v>
      </c>
      <c r="E260" s="125">
        <f t="shared" si="17"/>
        <v>3234918.4000000004</v>
      </c>
      <c r="F260" s="125">
        <f t="shared" si="18"/>
        <v>6036137.5</v>
      </c>
      <c r="G260" s="125">
        <f t="shared" si="19"/>
        <v>62649000</v>
      </c>
      <c r="H260" s="125">
        <v>0</v>
      </c>
      <c r="I260" s="125">
        <v>61843</v>
      </c>
      <c r="J260" s="125">
        <v>806</v>
      </c>
      <c r="K260" s="125">
        <v>15992</v>
      </c>
      <c r="L260" s="125">
        <v>15177</v>
      </c>
      <c r="M260" s="125">
        <v>5009</v>
      </c>
      <c r="N260" s="125">
        <v>4851</v>
      </c>
      <c r="O260" s="125">
        <v>5019</v>
      </c>
      <c r="P260" s="125">
        <v>2821</v>
      </c>
      <c r="Q260" s="125">
        <v>5358</v>
      </c>
      <c r="R260" s="125">
        <v>3362</v>
      </c>
      <c r="S260" s="125">
        <v>3498</v>
      </c>
      <c r="T260" s="125">
        <v>2562</v>
      </c>
      <c r="U260" s="125">
        <v>3465</v>
      </c>
      <c r="V260" s="125">
        <v>2479</v>
      </c>
      <c r="W260" s="125">
        <v>5628</v>
      </c>
      <c r="X260" s="125">
        <v>3515</v>
      </c>
      <c r="Y260" s="125">
        <v>22362</v>
      </c>
      <c r="Z260" s="125">
        <v>22565</v>
      </c>
    </row>
    <row r="261" spans="2:26" x14ac:dyDescent="0.2">
      <c r="B261" s="125" t="s">
        <v>261</v>
      </c>
      <c r="C261" s="125">
        <f t="shared" si="16"/>
        <v>1871.7142857142858</v>
      </c>
      <c r="D261" s="125">
        <f t="shared" si="16"/>
        <v>2571.1428571428573</v>
      </c>
      <c r="E261" s="125">
        <f t="shared" si="17"/>
        <v>4490465.2800000003</v>
      </c>
      <c r="F261" s="125">
        <f t="shared" si="18"/>
        <v>8378902.5</v>
      </c>
      <c r="G261" s="125">
        <f t="shared" si="19"/>
        <v>40126000</v>
      </c>
      <c r="H261" s="125">
        <v>5</v>
      </c>
      <c r="I261" s="125">
        <v>39064</v>
      </c>
      <c r="J261" s="125">
        <v>1057</v>
      </c>
      <c r="K261" s="125">
        <v>1937</v>
      </c>
      <c r="L261" s="125">
        <v>2372</v>
      </c>
      <c r="M261" s="125">
        <v>3273</v>
      </c>
      <c r="N261" s="125">
        <v>3550</v>
      </c>
      <c r="O261" s="125">
        <v>1373</v>
      </c>
      <c r="P261" s="125">
        <v>2332</v>
      </c>
      <c r="Q261" s="125">
        <v>590</v>
      </c>
      <c r="R261" s="125">
        <v>912</v>
      </c>
      <c r="S261" s="125">
        <v>1191</v>
      </c>
      <c r="T261" s="125">
        <v>2291</v>
      </c>
      <c r="U261" s="125">
        <v>1677</v>
      </c>
      <c r="V261" s="125">
        <v>3159</v>
      </c>
      <c r="W261" s="125">
        <v>3061</v>
      </c>
      <c r="X261" s="125">
        <v>3382</v>
      </c>
      <c r="Y261" s="125">
        <v>31405</v>
      </c>
      <c r="Z261" s="125">
        <v>31323</v>
      </c>
    </row>
    <row r="262" spans="2:26" x14ac:dyDescent="0.2">
      <c r="B262" s="125" t="s">
        <v>289</v>
      </c>
      <c r="C262" s="125">
        <f t="shared" si="16"/>
        <v>5005.2857142857147</v>
      </c>
      <c r="D262" s="125">
        <f t="shared" si="16"/>
        <v>4250.1428571428569</v>
      </c>
      <c r="E262" s="125">
        <f t="shared" si="17"/>
        <v>742748.16000000003</v>
      </c>
      <c r="F262" s="125">
        <f t="shared" si="18"/>
        <v>1385917.5</v>
      </c>
      <c r="G262" s="125">
        <f t="shared" si="19"/>
        <v>5232000</v>
      </c>
      <c r="H262" s="125">
        <v>0</v>
      </c>
      <c r="I262" s="125">
        <v>5172</v>
      </c>
      <c r="J262" s="125">
        <v>60</v>
      </c>
      <c r="K262" s="125">
        <v>7823</v>
      </c>
      <c r="L262" s="125">
        <v>7973</v>
      </c>
      <c r="M262" s="125">
        <v>7916</v>
      </c>
      <c r="N262" s="125">
        <v>6926</v>
      </c>
      <c r="O262" s="125">
        <v>4407</v>
      </c>
      <c r="P262" s="125">
        <v>4412</v>
      </c>
      <c r="Q262" s="125">
        <v>1457</v>
      </c>
      <c r="R262" s="125">
        <v>1408</v>
      </c>
      <c r="S262" s="125">
        <v>1415</v>
      </c>
      <c r="T262" s="125">
        <v>1387</v>
      </c>
      <c r="U262" s="125">
        <v>5096</v>
      </c>
      <c r="V262" s="125">
        <v>4013</v>
      </c>
      <c r="W262" s="125">
        <v>6923</v>
      </c>
      <c r="X262" s="125">
        <v>3632</v>
      </c>
      <c r="Y262" s="125">
        <v>5101</v>
      </c>
      <c r="Z262" s="125">
        <v>5181</v>
      </c>
    </row>
    <row r="263" spans="2:26" x14ac:dyDescent="0.2">
      <c r="B263" s="125" t="s">
        <v>458</v>
      </c>
      <c r="C263" s="125">
        <f t="shared" si="16"/>
        <v>5810.1428571428569</v>
      </c>
      <c r="D263" s="125">
        <f t="shared" si="16"/>
        <v>7695.5714285714284</v>
      </c>
      <c r="E263" s="125">
        <f t="shared" si="17"/>
        <v>1869414.4000000001</v>
      </c>
      <c r="F263" s="125">
        <f t="shared" si="18"/>
        <v>3488200</v>
      </c>
      <c r="G263" s="125">
        <f t="shared" si="19"/>
        <v>22178000</v>
      </c>
      <c r="H263" s="125">
        <v>238</v>
      </c>
      <c r="I263" s="125">
        <v>21928</v>
      </c>
      <c r="J263" s="125">
        <v>12</v>
      </c>
      <c r="K263" s="125">
        <v>7948</v>
      </c>
      <c r="L263" s="125">
        <v>8032</v>
      </c>
      <c r="M263" s="125">
        <v>5218</v>
      </c>
      <c r="N263" s="125">
        <v>16254</v>
      </c>
      <c r="O263" s="125">
        <v>7158</v>
      </c>
      <c r="P263" s="125">
        <v>6797</v>
      </c>
      <c r="Q263" s="125">
        <v>3834</v>
      </c>
      <c r="R263" s="125">
        <v>3921</v>
      </c>
      <c r="S263" s="125">
        <v>6870</v>
      </c>
      <c r="T263" s="125">
        <v>4715</v>
      </c>
      <c r="U263" s="125">
        <v>3794</v>
      </c>
      <c r="V263" s="125">
        <v>7961</v>
      </c>
      <c r="W263" s="125">
        <v>5849</v>
      </c>
      <c r="X263" s="125">
        <v>6189</v>
      </c>
      <c r="Y263" s="125">
        <v>12908</v>
      </c>
      <c r="Z263" s="125">
        <v>13040</v>
      </c>
    </row>
    <row r="264" spans="2:26" x14ac:dyDescent="0.2">
      <c r="B264" s="125" t="s">
        <v>262</v>
      </c>
      <c r="C264" s="125">
        <f t="shared" si="16"/>
        <v>1964.5714285714287</v>
      </c>
      <c r="D264" s="125">
        <f t="shared" si="16"/>
        <v>2305.2857142857142</v>
      </c>
      <c r="E264" s="125">
        <f t="shared" si="17"/>
        <v>6235443.2000000002</v>
      </c>
      <c r="F264" s="125">
        <f t="shared" si="18"/>
        <v>11634912.5</v>
      </c>
      <c r="G264" s="125">
        <f t="shared" si="19"/>
        <v>103431000</v>
      </c>
      <c r="H264" s="125">
        <v>265</v>
      </c>
      <c r="I264" s="125">
        <v>102557</v>
      </c>
      <c r="J264" s="125">
        <v>609</v>
      </c>
      <c r="K264" s="125">
        <v>2150</v>
      </c>
      <c r="L264" s="125">
        <v>2462</v>
      </c>
      <c r="M264" s="125">
        <v>4560</v>
      </c>
      <c r="N264" s="125">
        <v>4219</v>
      </c>
      <c r="O264" s="125">
        <v>1840</v>
      </c>
      <c r="P264" s="125">
        <v>1958</v>
      </c>
      <c r="Q264" s="125">
        <v>1008</v>
      </c>
      <c r="R264" s="125">
        <v>3370</v>
      </c>
      <c r="S264" s="125">
        <v>1447</v>
      </c>
      <c r="T264" s="125">
        <v>1620</v>
      </c>
      <c r="U264" s="125">
        <v>1216</v>
      </c>
      <c r="V264" s="125">
        <v>660</v>
      </c>
      <c r="W264" s="125">
        <v>1531</v>
      </c>
      <c r="X264" s="125">
        <v>1848</v>
      </c>
      <c r="Y264" s="125">
        <v>43650</v>
      </c>
      <c r="Z264" s="125">
        <v>43495</v>
      </c>
    </row>
    <row r="265" spans="2:26" x14ac:dyDescent="0.2">
      <c r="B265" s="125" t="s">
        <v>290</v>
      </c>
      <c r="C265" s="125">
        <f t="shared" si="16"/>
        <v>2712</v>
      </c>
      <c r="D265" s="125">
        <f t="shared" si="16"/>
        <v>2187.7142857142858</v>
      </c>
      <c r="E265" s="125">
        <f t="shared" si="17"/>
        <v>2839674.8800000004</v>
      </c>
      <c r="F265" s="125">
        <f t="shared" si="18"/>
        <v>5298640</v>
      </c>
      <c r="G265" s="125">
        <f t="shared" si="19"/>
        <v>45540000</v>
      </c>
      <c r="H265" s="125">
        <v>529</v>
      </c>
      <c r="I265" s="125">
        <v>45011</v>
      </c>
      <c r="J265" s="125">
        <v>0</v>
      </c>
      <c r="K265" s="125">
        <v>3589</v>
      </c>
      <c r="L265" s="125">
        <v>3727</v>
      </c>
      <c r="M265" s="125">
        <v>3089</v>
      </c>
      <c r="N265" s="125">
        <v>3153</v>
      </c>
      <c r="O265" s="125">
        <v>5737</v>
      </c>
      <c r="P265" s="125">
        <v>2850</v>
      </c>
      <c r="Q265" s="125">
        <v>2429</v>
      </c>
      <c r="R265" s="125">
        <v>2073</v>
      </c>
      <c r="S265" s="125">
        <v>1452</v>
      </c>
      <c r="T265" s="125">
        <v>1448</v>
      </c>
      <c r="U265" s="125">
        <v>1453</v>
      </c>
      <c r="V265" s="125">
        <v>1232</v>
      </c>
      <c r="W265" s="125">
        <v>1235</v>
      </c>
      <c r="X265" s="125">
        <v>831</v>
      </c>
      <c r="Y265" s="125">
        <v>19590</v>
      </c>
      <c r="Z265" s="125">
        <v>19808</v>
      </c>
    </row>
    <row r="266" spans="2:26" x14ac:dyDescent="0.2">
      <c r="B266" s="125" t="s">
        <v>385</v>
      </c>
      <c r="C266" s="125">
        <f t="shared" si="16"/>
        <v>8646</v>
      </c>
      <c r="D266" s="125">
        <f t="shared" si="16"/>
        <v>8672</v>
      </c>
      <c r="E266" s="125">
        <f t="shared" si="17"/>
        <v>6565457.9200000009</v>
      </c>
      <c r="F266" s="125">
        <f t="shared" si="18"/>
        <v>12250697.5</v>
      </c>
      <c r="G266" s="125">
        <f t="shared" si="19"/>
        <v>99504000</v>
      </c>
      <c r="H266" s="125">
        <v>49</v>
      </c>
      <c r="I266" s="125">
        <v>96726</v>
      </c>
      <c r="J266" s="125">
        <v>2729</v>
      </c>
      <c r="K266" s="125">
        <v>16601</v>
      </c>
      <c r="L266" s="125">
        <v>16900</v>
      </c>
      <c r="M266" s="125">
        <v>7928</v>
      </c>
      <c r="N266" s="125">
        <v>6043</v>
      </c>
      <c r="O266" s="125">
        <v>6688</v>
      </c>
      <c r="P266" s="125">
        <v>7581</v>
      </c>
      <c r="Q266" s="125">
        <v>4914</v>
      </c>
      <c r="R266" s="125">
        <v>4932</v>
      </c>
      <c r="S266" s="125">
        <v>9147</v>
      </c>
      <c r="T266" s="125">
        <v>9773</v>
      </c>
      <c r="U266" s="125">
        <v>9378</v>
      </c>
      <c r="V266" s="125">
        <v>8984</v>
      </c>
      <c r="W266" s="125">
        <v>5866</v>
      </c>
      <c r="X266" s="125">
        <v>6491</v>
      </c>
      <c r="Y266" s="125">
        <v>45411</v>
      </c>
      <c r="Z266" s="125">
        <v>45797</v>
      </c>
    </row>
    <row r="267" spans="2:26" x14ac:dyDescent="0.2">
      <c r="B267" s="125" t="s">
        <v>215</v>
      </c>
      <c r="C267" s="125">
        <f t="shared" si="16"/>
        <v>4210.5714285714284</v>
      </c>
      <c r="D267" s="125">
        <f t="shared" si="16"/>
        <v>4301.7142857142853</v>
      </c>
      <c r="E267" s="125">
        <f t="shared" si="17"/>
        <v>5462302.7200000007</v>
      </c>
      <c r="F267" s="125">
        <f t="shared" si="18"/>
        <v>10192285</v>
      </c>
      <c r="G267" s="125">
        <f t="shared" si="19"/>
        <v>97247000</v>
      </c>
      <c r="H267" s="125">
        <v>0</v>
      </c>
      <c r="I267" s="125">
        <v>95986</v>
      </c>
      <c r="J267" s="125">
        <v>1261</v>
      </c>
      <c r="K267" s="125">
        <v>7481</v>
      </c>
      <c r="L267" s="125">
        <v>8671</v>
      </c>
      <c r="M267" s="125">
        <v>2423</v>
      </c>
      <c r="N267" s="125">
        <v>1935</v>
      </c>
      <c r="O267" s="125">
        <v>1284</v>
      </c>
      <c r="P267" s="125">
        <v>2441</v>
      </c>
      <c r="Q267" s="125">
        <v>2362</v>
      </c>
      <c r="R267" s="125">
        <v>2471</v>
      </c>
      <c r="S267" s="125">
        <v>1543</v>
      </c>
      <c r="T267" s="125">
        <v>879</v>
      </c>
      <c r="U267" s="125">
        <v>8412</v>
      </c>
      <c r="V267" s="125">
        <v>8337</v>
      </c>
      <c r="W267" s="125">
        <v>5969</v>
      </c>
      <c r="X267" s="125">
        <v>5378</v>
      </c>
      <c r="Y267" s="125">
        <v>37979</v>
      </c>
      <c r="Z267" s="125">
        <v>38102</v>
      </c>
    </row>
    <row r="268" spans="2:26" x14ac:dyDescent="0.2">
      <c r="B268" s="125" t="s">
        <v>386</v>
      </c>
      <c r="C268" s="125">
        <f t="shared" si="16"/>
        <v>25214.285714285714</v>
      </c>
      <c r="D268" s="125">
        <f t="shared" si="16"/>
        <v>27046.714285714286</v>
      </c>
      <c r="E268" s="125">
        <f t="shared" si="17"/>
        <v>7482961.9200000009</v>
      </c>
      <c r="F268" s="125">
        <f t="shared" si="18"/>
        <v>13962697.5</v>
      </c>
      <c r="G268" s="125">
        <f t="shared" si="19"/>
        <v>126501000</v>
      </c>
      <c r="H268" s="125">
        <v>1015</v>
      </c>
      <c r="I268" s="125">
        <v>122271</v>
      </c>
      <c r="J268" s="125">
        <v>3215</v>
      </c>
      <c r="K268" s="125">
        <v>23512</v>
      </c>
      <c r="L268" s="125">
        <v>24240</v>
      </c>
      <c r="M268" s="125">
        <v>28603</v>
      </c>
      <c r="N268" s="125">
        <v>28720</v>
      </c>
      <c r="O268" s="125">
        <v>16970</v>
      </c>
      <c r="P268" s="125">
        <v>25081</v>
      </c>
      <c r="Q268" s="125">
        <v>34869</v>
      </c>
      <c r="R268" s="125">
        <v>36276</v>
      </c>
      <c r="S268" s="125">
        <v>17485</v>
      </c>
      <c r="T268" s="125">
        <v>18162</v>
      </c>
      <c r="U268" s="125">
        <v>26970</v>
      </c>
      <c r="V268" s="125">
        <v>28087</v>
      </c>
      <c r="W268" s="125">
        <v>28091</v>
      </c>
      <c r="X268" s="125">
        <v>28761</v>
      </c>
      <c r="Y268" s="125">
        <v>51009</v>
      </c>
      <c r="Z268" s="125">
        <v>52197</v>
      </c>
    </row>
    <row r="269" spans="2:26" x14ac:dyDescent="0.2">
      <c r="B269" s="125" t="s">
        <v>499</v>
      </c>
      <c r="C269" s="125">
        <f t="shared" si="16"/>
        <v>1143</v>
      </c>
      <c r="D269" s="125">
        <f t="shared" si="16"/>
        <v>848.42857142857144</v>
      </c>
      <c r="E269" s="125">
        <f t="shared" si="17"/>
        <v>2971709.4400000004</v>
      </c>
      <c r="F269" s="125">
        <f t="shared" si="18"/>
        <v>5545007.5</v>
      </c>
      <c r="G269" s="125">
        <f t="shared" si="19"/>
        <v>40364000</v>
      </c>
      <c r="H269" s="125">
        <v>1</v>
      </c>
      <c r="I269" s="125">
        <v>39407</v>
      </c>
      <c r="J269" s="125">
        <v>956</v>
      </c>
      <c r="K269" s="125">
        <v>760</v>
      </c>
      <c r="L269" s="125">
        <v>2183</v>
      </c>
      <c r="M269" s="125">
        <v>3277</v>
      </c>
      <c r="N269" s="125">
        <v>2815</v>
      </c>
      <c r="O269" s="125">
        <v>2023</v>
      </c>
      <c r="P269" s="125">
        <v>123</v>
      </c>
      <c r="Q269" s="125">
        <v>20</v>
      </c>
      <c r="R269" s="125">
        <v>21</v>
      </c>
      <c r="S269" s="125">
        <v>1158</v>
      </c>
      <c r="T269" s="125">
        <v>235</v>
      </c>
      <c r="U269" s="125">
        <v>198</v>
      </c>
      <c r="V269" s="125">
        <v>-3</v>
      </c>
      <c r="W269" s="125">
        <v>565</v>
      </c>
      <c r="X269" s="125">
        <v>565</v>
      </c>
      <c r="Y269" s="125">
        <v>20692</v>
      </c>
      <c r="Z269" s="125">
        <v>20729</v>
      </c>
    </row>
    <row r="270" spans="2:26" x14ac:dyDescent="0.2">
      <c r="B270" s="125" t="s">
        <v>500</v>
      </c>
      <c r="C270" s="125">
        <f t="shared" si="16"/>
        <v>7980.8571428571431</v>
      </c>
      <c r="D270" s="125">
        <f t="shared" si="16"/>
        <v>8230.7142857142862</v>
      </c>
      <c r="E270" s="125">
        <f t="shared" si="17"/>
        <v>8286924.8000000007</v>
      </c>
      <c r="F270" s="125">
        <f t="shared" si="18"/>
        <v>15462837.5</v>
      </c>
      <c r="G270" s="125">
        <f t="shared" si="19"/>
        <v>159769000</v>
      </c>
      <c r="H270" s="125">
        <v>359</v>
      </c>
      <c r="I270" s="125">
        <v>159338</v>
      </c>
      <c r="J270" s="125">
        <v>72</v>
      </c>
      <c r="K270" s="125">
        <v>16264</v>
      </c>
      <c r="L270" s="125">
        <v>15272</v>
      </c>
      <c r="M270" s="125">
        <v>4724</v>
      </c>
      <c r="N270" s="125">
        <v>3731</v>
      </c>
      <c r="O270" s="125">
        <v>6538</v>
      </c>
      <c r="P270" s="125">
        <v>6672</v>
      </c>
      <c r="Q270" s="125">
        <v>3628</v>
      </c>
      <c r="R270" s="125">
        <v>4460</v>
      </c>
      <c r="S270" s="125">
        <v>2984</v>
      </c>
      <c r="T270" s="125">
        <v>3508</v>
      </c>
      <c r="U270" s="125">
        <v>21667</v>
      </c>
      <c r="V270" s="125">
        <v>23253</v>
      </c>
      <c r="W270" s="125">
        <v>61</v>
      </c>
      <c r="X270" s="125">
        <v>719</v>
      </c>
      <c r="Y270" s="125">
        <v>57419</v>
      </c>
      <c r="Z270" s="125">
        <v>57805</v>
      </c>
    </row>
    <row r="271" spans="2:26" x14ac:dyDescent="0.2">
      <c r="B271" s="125" t="s">
        <v>459</v>
      </c>
      <c r="C271" s="125">
        <f t="shared" si="16"/>
        <v>26308.857142857141</v>
      </c>
      <c r="D271" s="125">
        <f t="shared" si="16"/>
        <v>28420.857142857141</v>
      </c>
      <c r="E271" s="125">
        <f t="shared" si="17"/>
        <v>11034705.920000002</v>
      </c>
      <c r="F271" s="125">
        <f t="shared" si="18"/>
        <v>20590010</v>
      </c>
      <c r="G271" s="125">
        <f t="shared" si="19"/>
        <v>141478000</v>
      </c>
      <c r="H271" s="125">
        <v>1282</v>
      </c>
      <c r="I271" s="125">
        <v>135069</v>
      </c>
      <c r="J271" s="125">
        <v>5127</v>
      </c>
      <c r="K271" s="125">
        <v>28334</v>
      </c>
      <c r="L271" s="125">
        <v>34960</v>
      </c>
      <c r="M271" s="125">
        <v>29789</v>
      </c>
      <c r="N271" s="125">
        <v>29229</v>
      </c>
      <c r="O271" s="125">
        <v>38847</v>
      </c>
      <c r="P271" s="125">
        <v>40522</v>
      </c>
      <c r="Q271" s="125">
        <v>53970</v>
      </c>
      <c r="R271" s="125">
        <v>55309</v>
      </c>
      <c r="S271" s="125">
        <v>7804</v>
      </c>
      <c r="T271" s="125">
        <v>9740</v>
      </c>
      <c r="U271" s="125">
        <v>14435</v>
      </c>
      <c r="V271" s="125">
        <v>17669</v>
      </c>
      <c r="W271" s="125">
        <v>10983</v>
      </c>
      <c r="X271" s="125">
        <v>11517</v>
      </c>
      <c r="Y271" s="125">
        <v>77189</v>
      </c>
      <c r="Z271" s="125">
        <v>76972</v>
      </c>
    </row>
    <row r="272" spans="2:26" x14ac:dyDescent="0.2">
      <c r="B272" s="125" t="s">
        <v>387</v>
      </c>
      <c r="C272" s="125">
        <f t="shared" si="16"/>
        <v>174910.36357142855</v>
      </c>
      <c r="D272" s="125">
        <f t="shared" si="16"/>
        <v>188672.99528571428</v>
      </c>
      <c r="E272" s="125">
        <f t="shared" si="17"/>
        <v>91571343.360000014</v>
      </c>
      <c r="F272" s="125">
        <f t="shared" si="18"/>
        <v>170865892.5</v>
      </c>
      <c r="G272" s="125">
        <f t="shared" si="19"/>
        <v>2937392000</v>
      </c>
      <c r="H272" s="125">
        <v>12889</v>
      </c>
      <c r="I272" s="125">
        <v>2534365</v>
      </c>
      <c r="J272" s="125">
        <v>390138</v>
      </c>
      <c r="K272" s="125">
        <v>218502</v>
      </c>
      <c r="L272" s="125">
        <v>381402</v>
      </c>
      <c r="M272" s="125">
        <v>199123</v>
      </c>
      <c r="N272" s="125">
        <v>136469</v>
      </c>
      <c r="O272" s="125">
        <v>283572</v>
      </c>
      <c r="P272" s="125">
        <v>307703</v>
      </c>
      <c r="Q272" s="125">
        <v>200258</v>
      </c>
      <c r="R272" s="125">
        <v>203304</v>
      </c>
      <c r="S272" s="125">
        <v>111946</v>
      </c>
      <c r="T272" s="125">
        <v>134192</v>
      </c>
      <c r="U272" s="125">
        <v>75573.544999999998</v>
      </c>
      <c r="V272" s="125">
        <v>35464.966999999997</v>
      </c>
      <c r="W272" s="125">
        <v>135398</v>
      </c>
      <c r="X272" s="125">
        <v>122176</v>
      </c>
      <c r="Y272" s="125">
        <v>638221</v>
      </c>
      <c r="Z272" s="125">
        <v>638751</v>
      </c>
    </row>
    <row r="273" spans="2:35" x14ac:dyDescent="0.2">
      <c r="B273" s="125" t="s">
        <v>264</v>
      </c>
      <c r="C273" s="125">
        <f t="shared" si="16"/>
        <v>425.57142857142856</v>
      </c>
      <c r="D273" s="125">
        <f t="shared" si="16"/>
        <v>427</v>
      </c>
      <c r="E273" s="125">
        <f t="shared" si="17"/>
        <v>226078.72000000003</v>
      </c>
      <c r="F273" s="125">
        <f t="shared" si="18"/>
        <v>421847.5</v>
      </c>
      <c r="G273" s="125">
        <f t="shared" si="19"/>
        <v>388000</v>
      </c>
      <c r="H273" s="125">
        <v>0</v>
      </c>
      <c r="I273" s="125">
        <v>388</v>
      </c>
      <c r="J273" s="125">
        <v>0</v>
      </c>
      <c r="K273" s="125">
        <v>0</v>
      </c>
      <c r="L273" s="125">
        <v>2</v>
      </c>
      <c r="M273" s="125">
        <v>5</v>
      </c>
      <c r="N273" s="125">
        <v>2</v>
      </c>
      <c r="O273" s="125">
        <v>0</v>
      </c>
      <c r="P273" s="125">
        <v>6</v>
      </c>
      <c r="Q273" s="125">
        <v>221</v>
      </c>
      <c r="R273" s="125">
        <v>222</v>
      </c>
      <c r="S273" s="125">
        <v>256</v>
      </c>
      <c r="T273" s="125">
        <v>255</v>
      </c>
      <c r="U273" s="125">
        <v>549</v>
      </c>
      <c r="V273" s="125">
        <v>550</v>
      </c>
      <c r="W273" s="125">
        <v>1948</v>
      </c>
      <c r="X273" s="125">
        <v>1952</v>
      </c>
      <c r="Y273" s="125">
        <v>1495</v>
      </c>
      <c r="Z273" s="125">
        <v>1577</v>
      </c>
    </row>
    <row r="274" spans="2:35" x14ac:dyDescent="0.2">
      <c r="B274" s="125" t="s">
        <v>460</v>
      </c>
      <c r="C274" s="125">
        <f t="shared" si="16"/>
        <v>3872.7142857142858</v>
      </c>
      <c r="D274" s="125">
        <f t="shared" si="16"/>
        <v>3826.1428571428573</v>
      </c>
      <c r="E274" s="125">
        <f t="shared" si="17"/>
        <v>3211837.4400000004</v>
      </c>
      <c r="F274" s="125">
        <f t="shared" si="18"/>
        <v>5993070</v>
      </c>
      <c r="G274" s="125">
        <f t="shared" si="19"/>
        <v>61494000</v>
      </c>
      <c r="H274" s="125">
        <v>5084</v>
      </c>
      <c r="I274" s="125">
        <v>55248</v>
      </c>
      <c r="J274" s="125">
        <v>1162</v>
      </c>
      <c r="K274" s="125">
        <v>6180</v>
      </c>
      <c r="L274" s="125">
        <v>4567</v>
      </c>
      <c r="M274" s="125">
        <v>5987</v>
      </c>
      <c r="N274" s="125">
        <v>5547</v>
      </c>
      <c r="O274" s="125">
        <v>3040</v>
      </c>
      <c r="P274" s="125">
        <v>2380</v>
      </c>
      <c r="Q274" s="125">
        <v>1601</v>
      </c>
      <c r="R274" s="125">
        <v>3010</v>
      </c>
      <c r="S274" s="125">
        <v>1963</v>
      </c>
      <c r="T274" s="125">
        <v>3247</v>
      </c>
      <c r="U274" s="125">
        <v>2051</v>
      </c>
      <c r="V274" s="125">
        <v>1860</v>
      </c>
      <c r="W274" s="125">
        <v>6287</v>
      </c>
      <c r="X274" s="125">
        <v>6172</v>
      </c>
      <c r="Y274" s="125">
        <v>22333</v>
      </c>
      <c r="Z274" s="125">
        <v>22404</v>
      </c>
    </row>
    <row r="275" spans="2:35" x14ac:dyDescent="0.2">
      <c r="B275" s="125" t="s">
        <v>334</v>
      </c>
      <c r="C275" s="125">
        <f t="shared" si="16"/>
        <v>7112.1428571428569</v>
      </c>
      <c r="D275" s="125">
        <f t="shared" si="16"/>
        <v>8495.1428571428569</v>
      </c>
      <c r="E275" s="125">
        <f t="shared" si="17"/>
        <v>6649036.8000000007</v>
      </c>
      <c r="F275" s="125">
        <f t="shared" si="18"/>
        <v>12406650</v>
      </c>
      <c r="G275" s="125">
        <f t="shared" si="19"/>
        <v>106775000</v>
      </c>
      <c r="H275" s="125">
        <v>9026</v>
      </c>
      <c r="I275" s="125">
        <v>97412</v>
      </c>
      <c r="J275" s="125">
        <v>337</v>
      </c>
      <c r="K275" s="125">
        <v>5436</v>
      </c>
      <c r="L275" s="125">
        <v>5295</v>
      </c>
      <c r="M275" s="125">
        <v>6944</v>
      </c>
      <c r="N275" s="125">
        <v>7308</v>
      </c>
      <c r="O275" s="125">
        <v>7750</v>
      </c>
      <c r="P275" s="125">
        <v>19147</v>
      </c>
      <c r="Q275" s="125">
        <v>1765</v>
      </c>
      <c r="R275" s="125">
        <v>2639</v>
      </c>
      <c r="S275" s="125">
        <v>6375</v>
      </c>
      <c r="T275" s="125">
        <v>7924</v>
      </c>
      <c r="U275" s="125">
        <v>15455</v>
      </c>
      <c r="V275" s="125">
        <v>14313</v>
      </c>
      <c r="W275" s="125">
        <v>6060</v>
      </c>
      <c r="X275" s="125">
        <v>2840</v>
      </c>
      <c r="Y275" s="125">
        <v>46197</v>
      </c>
      <c r="Z275" s="125">
        <v>46380</v>
      </c>
    </row>
    <row r="276" spans="2:35" x14ac:dyDescent="0.2">
      <c r="B276" s="125" t="s">
        <v>265</v>
      </c>
      <c r="C276" s="125">
        <f t="shared" si="16"/>
        <v>2052.4285714285716</v>
      </c>
      <c r="D276" s="125">
        <f t="shared" si="16"/>
        <v>1948.1428571428571</v>
      </c>
      <c r="E276" s="125">
        <f t="shared" si="17"/>
        <v>1398333.4400000002</v>
      </c>
      <c r="F276" s="125">
        <f t="shared" si="18"/>
        <v>2609195</v>
      </c>
      <c r="G276" s="125">
        <f t="shared" si="19"/>
        <v>14916000</v>
      </c>
      <c r="H276" s="125">
        <v>0</v>
      </c>
      <c r="I276" s="125">
        <v>14916</v>
      </c>
      <c r="J276" s="125">
        <v>0</v>
      </c>
      <c r="K276" s="125">
        <v>1259</v>
      </c>
      <c r="L276" s="125">
        <v>1259</v>
      </c>
      <c r="M276" s="125">
        <v>295</v>
      </c>
      <c r="N276" s="125">
        <v>297</v>
      </c>
      <c r="O276" s="125">
        <v>413</v>
      </c>
      <c r="P276" s="125">
        <v>414</v>
      </c>
      <c r="Q276" s="125">
        <v>534</v>
      </c>
      <c r="R276" s="125">
        <v>2598</v>
      </c>
      <c r="S276" s="125">
        <v>2290</v>
      </c>
      <c r="T276" s="125">
        <v>1621</v>
      </c>
      <c r="U276" s="125">
        <v>5302</v>
      </c>
      <c r="V276" s="125">
        <v>4348</v>
      </c>
      <c r="W276" s="125">
        <v>4274</v>
      </c>
      <c r="X276" s="125">
        <v>3100</v>
      </c>
      <c r="Y276" s="125">
        <v>9701</v>
      </c>
      <c r="Z276" s="125">
        <v>9754</v>
      </c>
    </row>
    <row r="277" spans="2:35" x14ac:dyDescent="0.2">
      <c r="B277" s="125" t="s">
        <v>388</v>
      </c>
      <c r="C277" s="125">
        <f t="shared" si="16"/>
        <v>37252.571428571428</v>
      </c>
      <c r="D277" s="125">
        <f t="shared" si="16"/>
        <v>30678.714285714286</v>
      </c>
      <c r="E277" s="125">
        <f t="shared" si="17"/>
        <v>11170181.120000001</v>
      </c>
      <c r="F277" s="125">
        <f t="shared" si="18"/>
        <v>20842797.5</v>
      </c>
      <c r="G277" s="125">
        <f t="shared" si="19"/>
        <v>502049000</v>
      </c>
      <c r="H277" s="125">
        <v>120</v>
      </c>
      <c r="I277" s="125">
        <v>484269</v>
      </c>
      <c r="J277" s="125">
        <v>17660</v>
      </c>
      <c r="K277" s="125">
        <v>37591</v>
      </c>
      <c r="L277" s="125">
        <v>28160</v>
      </c>
      <c r="M277" s="125">
        <v>24649</v>
      </c>
      <c r="N277" s="125">
        <v>29826</v>
      </c>
      <c r="O277" s="125">
        <v>72894</v>
      </c>
      <c r="P277" s="125">
        <v>36744</v>
      </c>
      <c r="Q277" s="125">
        <v>29277</v>
      </c>
      <c r="R277" s="125">
        <v>29700</v>
      </c>
      <c r="S277" s="125">
        <v>32407</v>
      </c>
      <c r="T277" s="125">
        <v>28123</v>
      </c>
      <c r="U277" s="125">
        <v>36752</v>
      </c>
      <c r="V277" s="125">
        <v>31059</v>
      </c>
      <c r="W277" s="125">
        <v>27198</v>
      </c>
      <c r="X277" s="125">
        <v>31139</v>
      </c>
      <c r="Y277" s="125">
        <v>77859</v>
      </c>
      <c r="Z277" s="125">
        <v>77917</v>
      </c>
    </row>
    <row r="278" spans="2:35" x14ac:dyDescent="0.2">
      <c r="B278" s="125" t="s">
        <v>193</v>
      </c>
      <c r="C278" s="125">
        <f t="shared" si="16"/>
        <v>65.142857142857139</v>
      </c>
      <c r="D278" s="125">
        <f t="shared" si="16"/>
        <v>59.428571428571431</v>
      </c>
      <c r="E278" s="125">
        <f t="shared" si="17"/>
        <v>133754.88</v>
      </c>
      <c r="F278" s="125">
        <f t="shared" si="18"/>
        <v>249577.5</v>
      </c>
      <c r="G278" s="125">
        <f t="shared" si="19"/>
        <v>6420000</v>
      </c>
      <c r="H278" s="125">
        <v>0</v>
      </c>
      <c r="I278" s="125">
        <v>6379</v>
      </c>
      <c r="J278" s="125">
        <v>41</v>
      </c>
      <c r="K278" s="125">
        <v>350</v>
      </c>
      <c r="L278" s="125">
        <v>300</v>
      </c>
      <c r="M278" s="125">
        <v>55</v>
      </c>
      <c r="N278" s="125">
        <v>14</v>
      </c>
      <c r="O278" s="125">
        <v>0</v>
      </c>
      <c r="P278" s="125">
        <v>0</v>
      </c>
      <c r="Q278" s="125">
        <v>20</v>
      </c>
      <c r="R278" s="125">
        <v>38</v>
      </c>
      <c r="S278" s="125">
        <v>0</v>
      </c>
      <c r="T278" s="125">
        <v>0</v>
      </c>
      <c r="U278" s="125">
        <v>3</v>
      </c>
      <c r="V278" s="125">
        <v>12</v>
      </c>
      <c r="W278" s="125">
        <v>28</v>
      </c>
      <c r="X278" s="125">
        <v>52</v>
      </c>
      <c r="Y278" s="125">
        <v>941</v>
      </c>
      <c r="Z278" s="125">
        <v>933</v>
      </c>
    </row>
    <row r="279" spans="2:35" x14ac:dyDescent="0.2">
      <c r="B279" s="125" t="s">
        <v>501</v>
      </c>
      <c r="C279" s="125">
        <f t="shared" si="16"/>
        <v>10.142857142857142</v>
      </c>
      <c r="D279" s="125">
        <f t="shared" si="16"/>
        <v>10.142857142857142</v>
      </c>
      <c r="E279" s="125">
        <f t="shared" si="17"/>
        <v>1851781.1200000001</v>
      </c>
      <c r="F279" s="125">
        <f t="shared" si="18"/>
        <v>3455297.5</v>
      </c>
      <c r="G279" s="125">
        <f t="shared" si="19"/>
        <v>30261000</v>
      </c>
      <c r="H279" s="125">
        <v>195</v>
      </c>
      <c r="I279" s="125">
        <v>28914</v>
      </c>
      <c r="J279" s="125">
        <v>1152</v>
      </c>
      <c r="K279" s="125">
        <v>59</v>
      </c>
      <c r="L279" s="125">
        <v>59</v>
      </c>
      <c r="M279" s="125">
        <v>12</v>
      </c>
      <c r="N279" s="125">
        <v>12</v>
      </c>
      <c r="O279" s="125">
        <v>0</v>
      </c>
      <c r="P279" s="125">
        <v>0</v>
      </c>
      <c r="Q279" s="125">
        <v>0</v>
      </c>
      <c r="R279" s="125">
        <v>0</v>
      </c>
      <c r="S279" s="125">
        <v>0</v>
      </c>
      <c r="T279" s="125">
        <v>0</v>
      </c>
      <c r="U279" s="125">
        <v>0</v>
      </c>
      <c r="V279" s="125">
        <v>0</v>
      </c>
      <c r="W279" s="125">
        <v>0</v>
      </c>
      <c r="X279" s="125">
        <v>0</v>
      </c>
      <c r="Y279" s="125">
        <v>12950</v>
      </c>
      <c r="Z279" s="125">
        <v>12917</v>
      </c>
    </row>
    <row r="280" spans="2:35" x14ac:dyDescent="0.2">
      <c r="B280" s="125" t="s">
        <v>410</v>
      </c>
      <c r="C280" s="125">
        <f t="shared" si="16"/>
        <v>4411.2857142857147</v>
      </c>
      <c r="D280" s="125">
        <f t="shared" si="16"/>
        <v>4971</v>
      </c>
      <c r="E280" s="125">
        <f t="shared" si="17"/>
        <v>4830371.8400000008</v>
      </c>
      <c r="F280" s="125">
        <f t="shared" si="18"/>
        <v>9013145</v>
      </c>
      <c r="G280" s="125">
        <f t="shared" si="19"/>
        <v>94586000</v>
      </c>
      <c r="H280" s="125">
        <v>589</v>
      </c>
      <c r="I280" s="125">
        <v>93606</v>
      </c>
      <c r="J280" s="125">
        <v>391</v>
      </c>
      <c r="K280" s="125">
        <v>5337</v>
      </c>
      <c r="L280" s="125">
        <v>5131</v>
      </c>
      <c r="M280" s="125">
        <v>7387</v>
      </c>
      <c r="N280" s="125">
        <v>6404</v>
      </c>
      <c r="O280" s="125">
        <v>972</v>
      </c>
      <c r="P280" s="125">
        <v>4422</v>
      </c>
      <c r="Q280" s="125">
        <v>3870</v>
      </c>
      <c r="R280" s="125">
        <v>6640</v>
      </c>
      <c r="S280" s="125">
        <v>6761</v>
      </c>
      <c r="T280" s="125">
        <v>6328</v>
      </c>
      <c r="U280" s="125">
        <v>1927</v>
      </c>
      <c r="V280" s="125">
        <v>1985</v>
      </c>
      <c r="W280" s="125">
        <v>4625</v>
      </c>
      <c r="X280" s="125">
        <v>3887</v>
      </c>
      <c r="Y280" s="125">
        <v>33759</v>
      </c>
      <c r="Z280" s="125">
        <v>33694</v>
      </c>
    </row>
    <row r="281" spans="2:35" x14ac:dyDescent="0.2">
      <c r="B281" s="125" t="s">
        <v>528</v>
      </c>
      <c r="C281" s="125">
        <f t="shared" si="16"/>
        <v>105455.57142857143</v>
      </c>
      <c r="D281" s="125">
        <f t="shared" si="16"/>
        <v>129608.85714285714</v>
      </c>
      <c r="E281" s="125">
        <f t="shared" si="17"/>
        <v>76258201.600000009</v>
      </c>
      <c r="F281" s="125">
        <f t="shared" si="18"/>
        <v>142292612.5</v>
      </c>
      <c r="G281" s="125">
        <f t="shared" si="19"/>
        <v>1457942000</v>
      </c>
      <c r="H281" s="125">
        <v>0</v>
      </c>
      <c r="I281" s="125">
        <v>1364831</v>
      </c>
      <c r="J281" s="125">
        <v>93111</v>
      </c>
      <c r="K281" s="125">
        <v>231879</v>
      </c>
      <c r="L281" s="125">
        <v>283837</v>
      </c>
      <c r="M281" s="125">
        <v>97451</v>
      </c>
      <c r="N281" s="125">
        <v>150573</v>
      </c>
      <c r="O281" s="125">
        <v>42070</v>
      </c>
      <c r="P281" s="125">
        <v>49407</v>
      </c>
      <c r="Q281" s="125">
        <v>133714</v>
      </c>
      <c r="R281" s="125">
        <v>158354</v>
      </c>
      <c r="S281" s="125">
        <v>73240</v>
      </c>
      <c r="T281" s="125">
        <v>92628</v>
      </c>
      <c r="U281" s="125">
        <v>89095</v>
      </c>
      <c r="V281" s="125">
        <v>90972</v>
      </c>
      <c r="W281" s="125">
        <v>70740</v>
      </c>
      <c r="X281" s="125">
        <v>81491</v>
      </c>
      <c r="Y281" s="125">
        <v>524305</v>
      </c>
      <c r="Z281" s="125">
        <v>531935</v>
      </c>
    </row>
    <row r="282" spans="2:35" x14ac:dyDescent="0.2">
      <c r="B282" s="125" t="s">
        <v>569</v>
      </c>
      <c r="C282" s="125">
        <f t="shared" si="16"/>
        <v>38786.735025400514</v>
      </c>
      <c r="D282" s="125">
        <f t="shared" si="16"/>
        <v>40846.537357195855</v>
      </c>
      <c r="E282" s="125">
        <f t="shared" si="17"/>
        <v>21995581.440000001</v>
      </c>
      <c r="F282" s="125">
        <f t="shared" si="18"/>
        <v>41042257.5</v>
      </c>
      <c r="G282" s="125">
        <f t="shared" si="19"/>
        <v>709551535.98014879</v>
      </c>
      <c r="H282" s="125">
        <v>10443.018255937612</v>
      </c>
      <c r="I282" s="125">
        <v>679338.50053172628</v>
      </c>
      <c r="J282" s="125">
        <v>19770.017192484935</v>
      </c>
      <c r="K282" s="125">
        <v>48681.428925912798</v>
      </c>
      <c r="L282" s="125">
        <v>46962.585962424673</v>
      </c>
      <c r="M282" s="125">
        <v>51215.391705069123</v>
      </c>
      <c r="N282" s="125">
        <v>53943.05281814959</v>
      </c>
      <c r="O282" s="125">
        <v>43110.174760723152</v>
      </c>
      <c r="P282" s="125">
        <v>50800.778092874869</v>
      </c>
      <c r="Q282" s="125">
        <v>29602.707904998228</v>
      </c>
      <c r="R282" s="125">
        <v>32071.861042183624</v>
      </c>
      <c r="S282" s="125">
        <v>36619.441881100269</v>
      </c>
      <c r="T282" s="125">
        <v>42891.483584738242</v>
      </c>
      <c r="U282" s="125">
        <v>21650</v>
      </c>
      <c r="V282" s="125">
        <v>21087</v>
      </c>
      <c r="W282" s="125">
        <v>40628</v>
      </c>
      <c r="X282" s="125">
        <v>38169</v>
      </c>
      <c r="Y282" s="125">
        <v>152472</v>
      </c>
      <c r="Z282" s="125">
        <v>153429</v>
      </c>
    </row>
    <row r="283" spans="2:35" x14ac:dyDescent="0.2">
      <c r="B283" s="125" t="s">
        <v>502</v>
      </c>
      <c r="C283" s="125">
        <f t="shared" si="16"/>
        <v>121</v>
      </c>
      <c r="D283" s="125">
        <f t="shared" si="16"/>
        <v>105</v>
      </c>
      <c r="E283" s="125">
        <f t="shared" si="17"/>
        <v>1513881.6000000001</v>
      </c>
      <c r="F283" s="125">
        <f t="shared" si="18"/>
        <v>2824800</v>
      </c>
      <c r="G283" s="125">
        <f t="shared" si="19"/>
        <v>20609000</v>
      </c>
      <c r="H283" s="125">
        <v>0</v>
      </c>
      <c r="I283" s="125">
        <v>20525</v>
      </c>
      <c r="J283" s="125">
        <v>84</v>
      </c>
      <c r="K283" s="125">
        <v>27</v>
      </c>
      <c r="L283" s="125">
        <v>162</v>
      </c>
      <c r="M283" s="125">
        <v>22</v>
      </c>
      <c r="N283" s="125">
        <v>132</v>
      </c>
      <c r="O283" s="125">
        <v>21</v>
      </c>
      <c r="P283" s="125">
        <v>74</v>
      </c>
      <c r="Q283" s="125">
        <v>54</v>
      </c>
      <c r="R283" s="125">
        <v>129</v>
      </c>
      <c r="S283" s="125">
        <v>580</v>
      </c>
      <c r="T283" s="125">
        <v>64</v>
      </c>
      <c r="U283" s="125">
        <v>98</v>
      </c>
      <c r="V283" s="125">
        <v>97</v>
      </c>
      <c r="W283" s="125">
        <v>45</v>
      </c>
      <c r="X283" s="125">
        <v>77</v>
      </c>
      <c r="Y283" s="125">
        <v>10569</v>
      </c>
      <c r="Z283" s="125">
        <v>10560</v>
      </c>
    </row>
    <row r="284" spans="2:35" x14ac:dyDescent="0.2">
      <c r="B284" s="125" t="s">
        <v>524</v>
      </c>
      <c r="C284" s="125">
        <f t="shared" si="16"/>
        <v>3102.7142857142858</v>
      </c>
      <c r="D284" s="125">
        <f t="shared" si="16"/>
        <v>3968.2857142857142</v>
      </c>
      <c r="E284" s="125">
        <f t="shared" si="17"/>
        <v>1659678.7200000002</v>
      </c>
      <c r="F284" s="125">
        <f t="shared" si="18"/>
        <v>3096847.5</v>
      </c>
      <c r="G284" s="125">
        <f t="shared" si="19"/>
        <v>31651000</v>
      </c>
      <c r="H284" s="125">
        <v>0</v>
      </c>
      <c r="I284" s="125">
        <v>31619</v>
      </c>
      <c r="J284" s="125">
        <v>32</v>
      </c>
      <c r="K284" s="125">
        <v>4947</v>
      </c>
      <c r="L284" s="125">
        <v>6002</v>
      </c>
      <c r="M284" s="125">
        <v>6333</v>
      </c>
      <c r="N284" s="125">
        <v>7930</v>
      </c>
      <c r="O284" s="125">
        <v>2343</v>
      </c>
      <c r="P284" s="125">
        <v>2708</v>
      </c>
      <c r="Q284" s="125">
        <v>1739</v>
      </c>
      <c r="R284" s="125">
        <v>4530</v>
      </c>
      <c r="S284" s="125">
        <v>813</v>
      </c>
      <c r="T284" s="125">
        <v>2567</v>
      </c>
      <c r="U284" s="125">
        <v>1187</v>
      </c>
      <c r="V284" s="125">
        <v>1244</v>
      </c>
      <c r="W284" s="125">
        <v>4357</v>
      </c>
      <c r="X284" s="125">
        <v>2797</v>
      </c>
      <c r="Y284" s="125">
        <v>11599</v>
      </c>
      <c r="Z284" s="125">
        <v>11577</v>
      </c>
    </row>
    <row r="285" spans="2:35" x14ac:dyDescent="0.2">
      <c r="B285" s="125" t="s">
        <v>462</v>
      </c>
      <c r="C285" s="125">
        <f t="shared" si="16"/>
        <v>4200.5714285714284</v>
      </c>
      <c r="D285" s="125">
        <f t="shared" si="16"/>
        <v>4120.1428571428569</v>
      </c>
      <c r="E285" s="125">
        <f t="shared" si="17"/>
        <v>4110131.2000000002</v>
      </c>
      <c r="F285" s="125">
        <f t="shared" si="18"/>
        <v>7669225</v>
      </c>
      <c r="G285" s="125">
        <f t="shared" si="19"/>
        <v>33160000</v>
      </c>
      <c r="H285" s="125">
        <v>47</v>
      </c>
      <c r="I285" s="125">
        <v>30838</v>
      </c>
      <c r="J285" s="125">
        <v>2275</v>
      </c>
      <c r="K285" s="125">
        <v>4341</v>
      </c>
      <c r="L285" s="125">
        <v>5419</v>
      </c>
      <c r="M285" s="125">
        <v>2100</v>
      </c>
      <c r="N285" s="125">
        <v>3360</v>
      </c>
      <c r="O285" s="125">
        <v>7288</v>
      </c>
      <c r="P285" s="125">
        <v>4692</v>
      </c>
      <c r="Q285" s="125">
        <v>3016</v>
      </c>
      <c r="R285" s="125">
        <v>3823</v>
      </c>
      <c r="S285" s="125">
        <v>3639</v>
      </c>
      <c r="T285" s="125">
        <v>3643</v>
      </c>
      <c r="U285" s="125">
        <v>3930</v>
      </c>
      <c r="V285" s="125">
        <v>2803</v>
      </c>
      <c r="W285" s="125">
        <v>5090</v>
      </c>
      <c r="X285" s="125">
        <v>5101</v>
      </c>
      <c r="Y285" s="125">
        <v>28585</v>
      </c>
      <c r="Z285" s="125">
        <v>28670</v>
      </c>
    </row>
    <row r="286" spans="2:35" x14ac:dyDescent="0.2">
      <c r="B286" s="125" t="s">
        <v>503</v>
      </c>
      <c r="C286" s="125">
        <f t="shared" si="16"/>
        <v>25263.428571428572</v>
      </c>
      <c r="D286" s="125">
        <f t="shared" si="16"/>
        <v>28550.285714285714</v>
      </c>
      <c r="E286" s="125">
        <f t="shared" si="17"/>
        <v>13327032.320000002</v>
      </c>
      <c r="F286" s="125">
        <f t="shared" si="18"/>
        <v>24867335</v>
      </c>
      <c r="G286" s="125">
        <f t="shared" si="19"/>
        <v>349268000</v>
      </c>
      <c r="H286" s="125">
        <v>34452</v>
      </c>
      <c r="I286" s="125">
        <v>311443</v>
      </c>
      <c r="J286" s="125">
        <v>3373</v>
      </c>
      <c r="K286" s="125">
        <v>44702</v>
      </c>
      <c r="L286" s="125">
        <v>48930</v>
      </c>
      <c r="M286" s="125">
        <v>45958</v>
      </c>
      <c r="N286" s="125">
        <v>54153</v>
      </c>
      <c r="O286" s="125">
        <v>23364</v>
      </c>
      <c r="P286" s="125">
        <v>29576</v>
      </c>
      <c r="Q286" s="125">
        <v>20141</v>
      </c>
      <c r="R286" s="125">
        <v>21268</v>
      </c>
      <c r="S286" s="125">
        <v>29062</v>
      </c>
      <c r="T286" s="125">
        <v>31221</v>
      </c>
      <c r="U286" s="125">
        <v>11796</v>
      </c>
      <c r="V286" s="125">
        <v>8430</v>
      </c>
      <c r="W286" s="125">
        <v>1821</v>
      </c>
      <c r="X286" s="125">
        <v>6274</v>
      </c>
      <c r="Y286" s="125">
        <v>93315</v>
      </c>
      <c r="Z286" s="125">
        <v>92962</v>
      </c>
    </row>
    <row r="287" spans="2:35" x14ac:dyDescent="0.2">
      <c r="B287" s="125" t="s">
        <v>389</v>
      </c>
      <c r="C287" s="125">
        <f t="shared" si="16"/>
        <v>2910.5714285714284</v>
      </c>
      <c r="D287" s="125">
        <f t="shared" si="16"/>
        <v>3102.4285714285716</v>
      </c>
      <c r="E287" s="125">
        <f t="shared" si="17"/>
        <v>3586437.1200000001</v>
      </c>
      <c r="F287" s="125">
        <f t="shared" si="18"/>
        <v>6692047.5</v>
      </c>
      <c r="G287" s="125">
        <f t="shared" si="19"/>
        <v>51371000</v>
      </c>
      <c r="H287" s="125">
        <v>175</v>
      </c>
      <c r="I287" s="125">
        <v>50030</v>
      </c>
      <c r="J287" s="125">
        <v>1166</v>
      </c>
      <c r="K287" s="125">
        <v>5230</v>
      </c>
      <c r="L287" s="125">
        <v>3760</v>
      </c>
      <c r="M287" s="125">
        <v>2089</v>
      </c>
      <c r="N287" s="125">
        <v>2305</v>
      </c>
      <c r="O287" s="125">
        <v>4198</v>
      </c>
      <c r="P287" s="125">
        <v>4338</v>
      </c>
      <c r="Q287" s="125">
        <v>2787</v>
      </c>
      <c r="R287" s="125">
        <v>4051</v>
      </c>
      <c r="S287" s="125">
        <v>597</v>
      </c>
      <c r="T287" s="125">
        <v>1612</v>
      </c>
      <c r="U287" s="125">
        <v>3865</v>
      </c>
      <c r="V287" s="125">
        <v>3080</v>
      </c>
      <c r="W287" s="125">
        <v>1608</v>
      </c>
      <c r="X287" s="125">
        <v>2571</v>
      </c>
      <c r="Y287" s="125">
        <v>24999</v>
      </c>
      <c r="Z287" s="125">
        <v>25017</v>
      </c>
      <c r="AH287" s="259"/>
      <c r="AI287" s="259"/>
    </row>
    <row r="288" spans="2:35" x14ac:dyDescent="0.2">
      <c r="B288" s="125" t="s">
        <v>411</v>
      </c>
      <c r="C288" s="125">
        <f t="shared" si="16"/>
        <v>1966.8571428571429</v>
      </c>
      <c r="D288" s="125">
        <f t="shared" si="16"/>
        <v>2530.5714285714284</v>
      </c>
      <c r="E288" s="125">
        <f t="shared" si="17"/>
        <v>3372830.7200000002</v>
      </c>
      <c r="F288" s="125">
        <f t="shared" si="18"/>
        <v>6293472.5</v>
      </c>
      <c r="G288" s="125">
        <f t="shared" si="19"/>
        <v>91716000</v>
      </c>
      <c r="H288" s="125">
        <v>223</v>
      </c>
      <c r="I288" s="125">
        <v>89683</v>
      </c>
      <c r="J288" s="125">
        <v>1810</v>
      </c>
      <c r="K288" s="125">
        <v>2384</v>
      </c>
      <c r="L288" s="125">
        <v>2199</v>
      </c>
      <c r="M288" s="125">
        <v>5653</v>
      </c>
      <c r="N288" s="125">
        <v>6245</v>
      </c>
      <c r="O288" s="125">
        <v>901</v>
      </c>
      <c r="P288" s="125">
        <v>2284</v>
      </c>
      <c r="Q288" s="125">
        <v>1433</v>
      </c>
      <c r="R288" s="125">
        <v>1107</v>
      </c>
      <c r="S288" s="125">
        <v>1969</v>
      </c>
      <c r="T288" s="125">
        <v>2745</v>
      </c>
      <c r="U288" s="125">
        <v>300</v>
      </c>
      <c r="V288" s="125">
        <v>1383</v>
      </c>
      <c r="W288" s="125">
        <v>1128</v>
      </c>
      <c r="X288" s="125">
        <v>1751</v>
      </c>
      <c r="Y288" s="125">
        <v>23654</v>
      </c>
      <c r="Z288" s="125">
        <v>23527</v>
      </c>
    </row>
    <row r="289" spans="2:26" x14ac:dyDescent="0.2">
      <c r="B289" s="125" t="s">
        <v>194</v>
      </c>
      <c r="C289" s="125">
        <f t="shared" si="16"/>
        <v>3297.7142857142858</v>
      </c>
      <c r="D289" s="125">
        <f t="shared" si="16"/>
        <v>4765.7142857142853</v>
      </c>
      <c r="E289" s="125">
        <f t="shared" si="17"/>
        <v>8013537.2800000012</v>
      </c>
      <c r="F289" s="125">
        <f t="shared" si="18"/>
        <v>14952715</v>
      </c>
      <c r="G289" s="125">
        <f t="shared" si="19"/>
        <v>161564000</v>
      </c>
      <c r="H289" s="125">
        <v>0</v>
      </c>
      <c r="I289" s="125">
        <v>161121</v>
      </c>
      <c r="J289" s="125">
        <v>443</v>
      </c>
      <c r="K289" s="125">
        <v>6977</v>
      </c>
      <c r="L289" s="125">
        <v>7299</v>
      </c>
      <c r="M289" s="125">
        <v>5495</v>
      </c>
      <c r="N289" s="125">
        <v>7228</v>
      </c>
      <c r="O289" s="125">
        <v>2814</v>
      </c>
      <c r="P289" s="125">
        <v>2693</v>
      </c>
      <c r="Q289" s="125">
        <v>1921</v>
      </c>
      <c r="R289" s="125">
        <v>5609</v>
      </c>
      <c r="S289" s="125">
        <v>3953</v>
      </c>
      <c r="T289" s="125">
        <v>4394</v>
      </c>
      <c r="U289" s="125">
        <v>848</v>
      </c>
      <c r="V289" s="125">
        <v>3199</v>
      </c>
      <c r="W289" s="125">
        <v>1076</v>
      </c>
      <c r="X289" s="125">
        <v>2938</v>
      </c>
      <c r="Y289" s="125">
        <v>55697</v>
      </c>
      <c r="Z289" s="125">
        <v>55898</v>
      </c>
    </row>
    <row r="290" spans="2:26" x14ac:dyDescent="0.2">
      <c r="B290" s="125" t="s">
        <v>291</v>
      </c>
      <c r="C290" s="125">
        <f t="shared" si="16"/>
        <v>4315.4285714285716</v>
      </c>
      <c r="D290" s="125">
        <f t="shared" si="16"/>
        <v>6452.5714285714284</v>
      </c>
      <c r="E290" s="125">
        <f t="shared" si="17"/>
        <v>6608035.8400000008</v>
      </c>
      <c r="F290" s="125">
        <f t="shared" si="18"/>
        <v>12330145</v>
      </c>
      <c r="G290" s="125">
        <f t="shared" si="19"/>
        <v>76333000</v>
      </c>
      <c r="H290" s="125">
        <v>296</v>
      </c>
      <c r="I290" s="125">
        <v>76037</v>
      </c>
      <c r="J290" s="125">
        <v>0</v>
      </c>
      <c r="K290" s="125">
        <v>1152</v>
      </c>
      <c r="L290" s="125">
        <v>1277</v>
      </c>
      <c r="M290" s="125">
        <v>4041</v>
      </c>
      <c r="N290" s="125">
        <v>3634</v>
      </c>
      <c r="O290" s="125">
        <v>6938</v>
      </c>
      <c r="P290" s="125">
        <v>20584</v>
      </c>
      <c r="Q290" s="125">
        <v>4530</v>
      </c>
      <c r="R290" s="125">
        <v>6121</v>
      </c>
      <c r="S290" s="125">
        <v>1552</v>
      </c>
      <c r="T290" s="125">
        <v>1707</v>
      </c>
      <c r="U290" s="125">
        <v>1529</v>
      </c>
      <c r="V290" s="125">
        <v>1365</v>
      </c>
      <c r="W290" s="125">
        <v>10466</v>
      </c>
      <c r="X290" s="125">
        <v>10480</v>
      </c>
      <c r="Y290" s="125">
        <v>45855</v>
      </c>
      <c r="Z290" s="125">
        <v>46094</v>
      </c>
    </row>
    <row r="291" spans="2:26" x14ac:dyDescent="0.2">
      <c r="B291" s="125" t="s">
        <v>464</v>
      </c>
      <c r="C291" s="125">
        <f t="shared" si="16"/>
        <v>6537.4285714285716</v>
      </c>
      <c r="D291" s="125">
        <f t="shared" si="16"/>
        <v>5378.2857142857147</v>
      </c>
      <c r="E291" s="125">
        <f t="shared" si="17"/>
        <v>2743050.2400000002</v>
      </c>
      <c r="F291" s="125">
        <f t="shared" si="18"/>
        <v>5118345</v>
      </c>
      <c r="G291" s="125">
        <f t="shared" si="19"/>
        <v>36890000</v>
      </c>
      <c r="H291" s="125">
        <v>0</v>
      </c>
      <c r="I291" s="125">
        <v>36853</v>
      </c>
      <c r="J291" s="125">
        <v>37</v>
      </c>
      <c r="K291" s="125">
        <v>9418</v>
      </c>
      <c r="L291" s="125">
        <v>11154</v>
      </c>
      <c r="M291" s="125">
        <v>1700</v>
      </c>
      <c r="N291" s="125">
        <v>1305</v>
      </c>
      <c r="O291" s="125">
        <v>4564</v>
      </c>
      <c r="P291" s="125">
        <v>5220</v>
      </c>
      <c r="Q291" s="125">
        <v>7757</v>
      </c>
      <c r="R291" s="125">
        <v>3454</v>
      </c>
      <c r="S291" s="125">
        <v>9248</v>
      </c>
      <c r="T291" s="125">
        <v>9301</v>
      </c>
      <c r="U291" s="125">
        <v>7834</v>
      </c>
      <c r="V291" s="125">
        <v>3932</v>
      </c>
      <c r="W291" s="125">
        <v>5241</v>
      </c>
      <c r="X291" s="125">
        <v>3282</v>
      </c>
      <c r="Y291" s="125">
        <v>19035</v>
      </c>
      <c r="Z291" s="125">
        <v>19134</v>
      </c>
    </row>
    <row r="292" spans="2:26" x14ac:dyDescent="0.2">
      <c r="B292" s="125" t="s">
        <v>465</v>
      </c>
      <c r="C292" s="125">
        <f t="shared" si="16"/>
        <v>5145.7142857142853</v>
      </c>
      <c r="D292" s="125">
        <f t="shared" si="16"/>
        <v>4865.4285714285716</v>
      </c>
      <c r="E292" s="125">
        <f t="shared" si="17"/>
        <v>2400563.2000000002</v>
      </c>
      <c r="F292" s="125">
        <f t="shared" si="18"/>
        <v>4479287.5</v>
      </c>
      <c r="G292" s="125">
        <f t="shared" si="19"/>
        <v>27899000</v>
      </c>
      <c r="H292" s="125">
        <v>0</v>
      </c>
      <c r="I292" s="125">
        <v>27815</v>
      </c>
      <c r="J292" s="125">
        <v>84</v>
      </c>
      <c r="K292" s="125">
        <v>7899</v>
      </c>
      <c r="L292" s="125">
        <v>7496</v>
      </c>
      <c r="M292" s="125">
        <v>4022</v>
      </c>
      <c r="N292" s="125">
        <v>4036</v>
      </c>
      <c r="O292" s="125">
        <v>4284</v>
      </c>
      <c r="P292" s="125">
        <v>4290</v>
      </c>
      <c r="Q292" s="125">
        <v>5765</v>
      </c>
      <c r="R292" s="125">
        <v>4221</v>
      </c>
      <c r="S292" s="125">
        <v>2895</v>
      </c>
      <c r="T292" s="125">
        <v>2714</v>
      </c>
      <c r="U292" s="125">
        <v>5763</v>
      </c>
      <c r="V292" s="125">
        <v>5871</v>
      </c>
      <c r="W292" s="125">
        <v>5392</v>
      </c>
      <c r="X292" s="125">
        <v>5430</v>
      </c>
      <c r="Y292" s="125">
        <v>16628</v>
      </c>
      <c r="Z292" s="125">
        <v>16745</v>
      </c>
    </row>
    <row r="293" spans="2:26" x14ac:dyDescent="0.2">
      <c r="B293" s="125" t="s">
        <v>173</v>
      </c>
      <c r="C293" s="125">
        <f t="shared" si="16"/>
        <v>2164.7142857142858</v>
      </c>
      <c r="D293" s="125">
        <f t="shared" si="16"/>
        <v>3472.2857142857142</v>
      </c>
      <c r="E293" s="125">
        <f t="shared" si="17"/>
        <v>4628090.8800000008</v>
      </c>
      <c r="F293" s="125">
        <f t="shared" si="18"/>
        <v>8635702.5</v>
      </c>
      <c r="G293" s="125">
        <f t="shared" si="19"/>
        <v>77027000</v>
      </c>
      <c r="H293" s="125">
        <v>2614</v>
      </c>
      <c r="I293" s="125">
        <v>72062</v>
      </c>
      <c r="J293" s="125">
        <v>2351</v>
      </c>
      <c r="K293" s="125">
        <v>2557</v>
      </c>
      <c r="L293" s="125">
        <v>5458</v>
      </c>
      <c r="M293" s="125">
        <v>3699</v>
      </c>
      <c r="N293" s="125">
        <v>4937</v>
      </c>
      <c r="O293" s="125">
        <v>2278</v>
      </c>
      <c r="P293" s="125">
        <v>2545</v>
      </c>
      <c r="Q293" s="125">
        <v>521</v>
      </c>
      <c r="R293" s="125">
        <v>2301</v>
      </c>
      <c r="S293" s="125">
        <v>2624</v>
      </c>
      <c r="T293" s="125">
        <v>3681</v>
      </c>
      <c r="U293" s="125">
        <v>2015</v>
      </c>
      <c r="V293" s="125">
        <v>3339</v>
      </c>
      <c r="W293" s="125">
        <v>1459</v>
      </c>
      <c r="X293" s="125">
        <v>2045</v>
      </c>
      <c r="Y293" s="125">
        <v>32255</v>
      </c>
      <c r="Z293" s="125">
        <v>32283</v>
      </c>
    </row>
    <row r="294" spans="2:26" x14ac:dyDescent="0.2">
      <c r="B294" s="125" t="s">
        <v>216</v>
      </c>
      <c r="C294" s="125">
        <f t="shared" si="16"/>
        <v>6039.2857142857147</v>
      </c>
      <c r="D294" s="125">
        <f t="shared" si="16"/>
        <v>4556.8571428571431</v>
      </c>
      <c r="E294" s="125">
        <f t="shared" si="17"/>
        <v>2407874.5600000001</v>
      </c>
      <c r="F294" s="125">
        <f t="shared" si="18"/>
        <v>4492930</v>
      </c>
      <c r="G294" s="125">
        <f t="shared" si="19"/>
        <v>25181000</v>
      </c>
      <c r="H294" s="125">
        <v>0</v>
      </c>
      <c r="I294" s="125">
        <v>24859</v>
      </c>
      <c r="J294" s="125">
        <v>322</v>
      </c>
      <c r="K294" s="125">
        <v>4120</v>
      </c>
      <c r="L294" s="125">
        <v>3819</v>
      </c>
      <c r="M294" s="125">
        <v>4939</v>
      </c>
      <c r="N294" s="125">
        <v>4777</v>
      </c>
      <c r="O294" s="125">
        <v>7013</v>
      </c>
      <c r="P294" s="125">
        <v>6963</v>
      </c>
      <c r="Q294" s="125">
        <v>5850</v>
      </c>
      <c r="R294" s="125">
        <v>6000</v>
      </c>
      <c r="S294" s="125">
        <v>7496</v>
      </c>
      <c r="T294" s="125">
        <v>3841</v>
      </c>
      <c r="U294" s="125">
        <v>7741</v>
      </c>
      <c r="V294" s="125">
        <v>3933</v>
      </c>
      <c r="W294" s="125">
        <v>5116</v>
      </c>
      <c r="X294" s="125">
        <v>2565</v>
      </c>
      <c r="Y294" s="125">
        <v>16694</v>
      </c>
      <c r="Z294" s="125">
        <v>16796</v>
      </c>
    </row>
    <row r="295" spans="2:26" x14ac:dyDescent="0.2">
      <c r="B295" s="125" t="s">
        <v>335</v>
      </c>
      <c r="C295" s="125">
        <f t="shared" si="16"/>
        <v>3051.8571428571427</v>
      </c>
      <c r="D295" s="125">
        <f t="shared" si="16"/>
        <v>3699.2857142857142</v>
      </c>
      <c r="E295" s="125">
        <f t="shared" si="17"/>
        <v>3106611.2000000002</v>
      </c>
      <c r="F295" s="125">
        <f t="shared" si="18"/>
        <v>5796725</v>
      </c>
      <c r="G295" s="125">
        <f t="shared" si="19"/>
        <v>42312000</v>
      </c>
      <c r="H295" s="125">
        <v>367</v>
      </c>
      <c r="I295" s="125">
        <v>41829</v>
      </c>
      <c r="J295" s="125">
        <v>116</v>
      </c>
      <c r="K295" s="125">
        <v>3758</v>
      </c>
      <c r="L295" s="125">
        <v>6886</v>
      </c>
      <c r="M295" s="125">
        <v>3888</v>
      </c>
      <c r="N295" s="125">
        <v>2121</v>
      </c>
      <c r="O295" s="125">
        <v>2767</v>
      </c>
      <c r="P295" s="125">
        <v>5260</v>
      </c>
      <c r="Q295" s="125">
        <v>5244</v>
      </c>
      <c r="R295" s="125">
        <v>4278</v>
      </c>
      <c r="S295" s="125">
        <v>1891</v>
      </c>
      <c r="T295" s="125">
        <v>2351</v>
      </c>
      <c r="U295" s="125">
        <v>919</v>
      </c>
      <c r="V295" s="125">
        <v>106</v>
      </c>
      <c r="W295" s="125">
        <v>2896</v>
      </c>
      <c r="X295" s="125">
        <v>4893</v>
      </c>
      <c r="Y295" s="125">
        <v>21553</v>
      </c>
      <c r="Z295" s="125">
        <v>21670</v>
      </c>
    </row>
    <row r="296" spans="2:26" x14ac:dyDescent="0.2">
      <c r="B296" s="125" t="s">
        <v>466</v>
      </c>
      <c r="C296" s="125">
        <f t="shared" si="16"/>
        <v>2780.8571428571427</v>
      </c>
      <c r="D296" s="125">
        <f t="shared" si="16"/>
        <v>3305.7142857142858</v>
      </c>
      <c r="E296" s="125">
        <f t="shared" si="17"/>
        <v>3557335.0400000005</v>
      </c>
      <c r="F296" s="125">
        <f t="shared" si="18"/>
        <v>6637745</v>
      </c>
      <c r="G296" s="125">
        <f t="shared" si="19"/>
        <v>40980000</v>
      </c>
      <c r="H296" s="125">
        <v>0</v>
      </c>
      <c r="I296" s="125">
        <v>39629</v>
      </c>
      <c r="J296" s="125">
        <v>1351</v>
      </c>
      <c r="K296" s="125">
        <v>3083</v>
      </c>
      <c r="L296" s="125">
        <v>3468</v>
      </c>
      <c r="M296" s="125">
        <v>1413</v>
      </c>
      <c r="N296" s="125">
        <v>3451</v>
      </c>
      <c r="O296" s="125">
        <v>4163</v>
      </c>
      <c r="P296" s="125">
        <v>6113</v>
      </c>
      <c r="Q296" s="125">
        <v>2653</v>
      </c>
      <c r="R296" s="125">
        <v>2784</v>
      </c>
      <c r="S296" s="125">
        <v>3553</v>
      </c>
      <c r="T296" s="125">
        <v>2403</v>
      </c>
      <c r="U296" s="125">
        <v>1875</v>
      </c>
      <c r="V296" s="125">
        <v>1980</v>
      </c>
      <c r="W296" s="125">
        <v>2726</v>
      </c>
      <c r="X296" s="125">
        <v>2941</v>
      </c>
      <c r="Y296" s="125">
        <v>23971</v>
      </c>
      <c r="Z296" s="125">
        <v>24814</v>
      </c>
    </row>
    <row r="297" spans="2:26" x14ac:dyDescent="0.2">
      <c r="B297" s="125" t="s">
        <v>217</v>
      </c>
      <c r="C297" s="125">
        <f t="shared" si="16"/>
        <v>7332.4285714285716</v>
      </c>
      <c r="D297" s="125">
        <f t="shared" si="16"/>
        <v>8606.5714285714294</v>
      </c>
      <c r="E297" s="125">
        <f t="shared" si="17"/>
        <v>6275153.9200000009</v>
      </c>
      <c r="F297" s="125">
        <f t="shared" si="18"/>
        <v>11709010</v>
      </c>
      <c r="G297" s="125">
        <f t="shared" si="19"/>
        <v>94687000</v>
      </c>
      <c r="H297" s="125">
        <v>0</v>
      </c>
      <c r="I297" s="125">
        <v>93849</v>
      </c>
      <c r="J297" s="125">
        <v>838</v>
      </c>
      <c r="K297" s="125">
        <v>11891</v>
      </c>
      <c r="L297" s="125">
        <v>14249</v>
      </c>
      <c r="M297" s="125">
        <v>6621</v>
      </c>
      <c r="N297" s="125">
        <v>7309</v>
      </c>
      <c r="O297" s="125">
        <v>5813</v>
      </c>
      <c r="P297" s="125">
        <v>7449</v>
      </c>
      <c r="Q297" s="125">
        <v>6111</v>
      </c>
      <c r="R297" s="125">
        <v>8579</v>
      </c>
      <c r="S297" s="125">
        <v>5289</v>
      </c>
      <c r="T297" s="125">
        <v>4968</v>
      </c>
      <c r="U297" s="125">
        <v>9163</v>
      </c>
      <c r="V297" s="125">
        <v>9282</v>
      </c>
      <c r="W297" s="125">
        <v>6439</v>
      </c>
      <c r="X297" s="125">
        <v>8410</v>
      </c>
      <c r="Y297" s="125">
        <v>43446</v>
      </c>
      <c r="Z297" s="125">
        <v>43772</v>
      </c>
    </row>
    <row r="298" spans="2:26" x14ac:dyDescent="0.2">
      <c r="B298" s="125" t="s">
        <v>504</v>
      </c>
      <c r="C298" s="125">
        <f t="shared" si="16"/>
        <v>4374.1428571428569</v>
      </c>
      <c r="D298" s="125">
        <f t="shared" si="16"/>
        <v>4616.5714285714284</v>
      </c>
      <c r="E298" s="125">
        <f t="shared" si="17"/>
        <v>3582136.3200000003</v>
      </c>
      <c r="F298" s="125">
        <f t="shared" si="18"/>
        <v>6684022.5</v>
      </c>
      <c r="G298" s="125">
        <f t="shared" si="19"/>
        <v>68249000</v>
      </c>
      <c r="H298" s="125">
        <v>294</v>
      </c>
      <c r="I298" s="125">
        <v>67453</v>
      </c>
      <c r="J298" s="125">
        <v>502</v>
      </c>
      <c r="K298" s="125">
        <v>5639</v>
      </c>
      <c r="L298" s="125">
        <v>5690</v>
      </c>
      <c r="M298" s="125">
        <v>6189</v>
      </c>
      <c r="N298" s="125">
        <v>6836</v>
      </c>
      <c r="O298" s="125">
        <v>4401</v>
      </c>
      <c r="P298" s="125">
        <v>3930</v>
      </c>
      <c r="Q298" s="125">
        <v>3530</v>
      </c>
      <c r="R298" s="125">
        <v>4333</v>
      </c>
      <c r="S298" s="125">
        <v>2839</v>
      </c>
      <c r="T298" s="125">
        <v>3104</v>
      </c>
      <c r="U298" s="125">
        <v>4667</v>
      </c>
      <c r="V298" s="125">
        <v>4894</v>
      </c>
      <c r="W298" s="125">
        <v>3354</v>
      </c>
      <c r="X298" s="125">
        <v>3529</v>
      </c>
      <c r="Y298" s="125">
        <v>25065</v>
      </c>
      <c r="Z298" s="125">
        <v>24987</v>
      </c>
    </row>
    <row r="299" spans="2:26" x14ac:dyDescent="0.2">
      <c r="B299" s="125" t="s">
        <v>292</v>
      </c>
      <c r="C299" s="125">
        <f t="shared" si="16"/>
        <v>1739.4285714285713</v>
      </c>
      <c r="D299" s="125">
        <f t="shared" si="16"/>
        <v>2047.4285714285713</v>
      </c>
      <c r="E299" s="125">
        <f t="shared" si="17"/>
        <v>9250304</v>
      </c>
      <c r="F299" s="125">
        <f t="shared" si="18"/>
        <v>17260437.5</v>
      </c>
      <c r="G299" s="125">
        <f t="shared" si="19"/>
        <v>134812000</v>
      </c>
      <c r="H299" s="125">
        <v>168</v>
      </c>
      <c r="I299" s="125">
        <v>134499</v>
      </c>
      <c r="J299" s="125">
        <v>145</v>
      </c>
      <c r="K299" s="125">
        <v>7403</v>
      </c>
      <c r="L299" s="125">
        <v>7379</v>
      </c>
      <c r="M299" s="125">
        <v>1926</v>
      </c>
      <c r="N299" s="125">
        <v>2943</v>
      </c>
      <c r="O299" s="125">
        <v>49</v>
      </c>
      <c r="P299" s="125">
        <v>431</v>
      </c>
      <c r="Q299" s="125">
        <v>383</v>
      </c>
      <c r="R299" s="125">
        <v>394</v>
      </c>
      <c r="S299" s="125">
        <v>1040</v>
      </c>
      <c r="T299" s="125">
        <v>1172</v>
      </c>
      <c r="U299" s="125">
        <v>1294</v>
      </c>
      <c r="V299" s="125">
        <v>1324</v>
      </c>
      <c r="W299" s="125">
        <v>81</v>
      </c>
      <c r="X299" s="125">
        <v>689</v>
      </c>
      <c r="Y299" s="125">
        <v>64437</v>
      </c>
      <c r="Z299" s="125">
        <v>64525</v>
      </c>
    </row>
    <row r="300" spans="2:26" x14ac:dyDescent="0.2">
      <c r="B300" s="125" t="s">
        <v>390</v>
      </c>
      <c r="C300" s="125">
        <f t="shared" si="16"/>
        <v>1739.4285714285713</v>
      </c>
      <c r="D300" s="125">
        <f t="shared" si="16"/>
        <v>1699.2857142857142</v>
      </c>
      <c r="E300" s="125">
        <f t="shared" si="17"/>
        <v>1261281.28</v>
      </c>
      <c r="F300" s="125">
        <f t="shared" si="18"/>
        <v>2353465</v>
      </c>
      <c r="G300" s="125">
        <f t="shared" si="19"/>
        <v>15278000</v>
      </c>
      <c r="H300" s="125">
        <v>0</v>
      </c>
      <c r="I300" s="125">
        <v>14965</v>
      </c>
      <c r="J300" s="125">
        <v>313</v>
      </c>
      <c r="K300" s="125">
        <v>5627</v>
      </c>
      <c r="L300" s="125">
        <v>5248</v>
      </c>
      <c r="M300" s="125">
        <v>2126</v>
      </c>
      <c r="N300" s="125">
        <v>2082</v>
      </c>
      <c r="O300" s="125">
        <v>433</v>
      </c>
      <c r="P300" s="125">
        <v>443</v>
      </c>
      <c r="Q300" s="125">
        <v>410</v>
      </c>
      <c r="R300" s="125">
        <v>703</v>
      </c>
      <c r="S300" s="125">
        <v>1461</v>
      </c>
      <c r="T300" s="125">
        <v>1786</v>
      </c>
      <c r="U300" s="125">
        <v>1069</v>
      </c>
      <c r="V300" s="125">
        <v>1016</v>
      </c>
      <c r="W300" s="125">
        <v>1050</v>
      </c>
      <c r="X300" s="125">
        <v>617</v>
      </c>
      <c r="Y300" s="125">
        <v>8783</v>
      </c>
      <c r="Z300" s="125">
        <v>8798</v>
      </c>
    </row>
    <row r="301" spans="2:26" x14ac:dyDescent="0.2">
      <c r="B301" s="125" t="s">
        <v>525</v>
      </c>
      <c r="C301" s="125">
        <v>10237.989296039337</v>
      </c>
      <c r="D301" s="125">
        <v>16130.282606218212</v>
      </c>
      <c r="E301" s="125">
        <v>12847871.65734878</v>
      </c>
      <c r="F301" s="125">
        <v>23973253.824921861</v>
      </c>
      <c r="G301" s="125">
        <f t="shared" si="19"/>
        <v>220312013.88122818</v>
      </c>
      <c r="H301" s="125">
        <v>1021</v>
      </c>
      <c r="I301" s="125">
        <v>217080.82699025556</v>
      </c>
      <c r="J301" s="125">
        <v>2210.1868909726054</v>
      </c>
      <c r="K301" s="125">
        <v>18988.233334836903</v>
      </c>
      <c r="L301" s="125">
        <v>21150.403206507111</v>
      </c>
      <c r="M301" s="125">
        <v>15059.641847255049</v>
      </c>
      <c r="N301" s="125">
        <v>27378.523524910011</v>
      </c>
      <c r="O301" s="125">
        <v>11583.733267157972</v>
      </c>
      <c r="P301" s="125">
        <v>13463.425743609963</v>
      </c>
      <c r="Q301" s="125">
        <v>7307.736645088321</v>
      </c>
      <c r="R301" s="125">
        <v>14882.200046860387</v>
      </c>
      <c r="S301" s="125">
        <v>4332.4728810443094</v>
      </c>
      <c r="T301" s="125">
        <v>10410.776245633388</v>
      </c>
      <c r="U301" s="125">
        <v>7985.4401544401544</v>
      </c>
      <c r="V301" s="125">
        <v>14687.715940430226</v>
      </c>
      <c r="W301" s="125">
        <v>6408.6669424526572</v>
      </c>
      <c r="X301" s="125">
        <v>10938.933535576392</v>
      </c>
      <c r="Y301" s="125">
        <v>89586.36569222284</v>
      </c>
      <c r="Z301" s="125">
        <v>89619.640466997604</v>
      </c>
    </row>
    <row r="302" spans="2:26" x14ac:dyDescent="0.2">
      <c r="B302" s="125" t="s">
        <v>174</v>
      </c>
      <c r="C302" s="125">
        <f t="shared" si="16"/>
        <v>970.71428571428567</v>
      </c>
      <c r="D302" s="125">
        <f t="shared" si="16"/>
        <v>3435.5714285714284</v>
      </c>
      <c r="E302" s="125">
        <f t="shared" si="17"/>
        <v>1044807.6800000001</v>
      </c>
      <c r="F302" s="125">
        <f t="shared" si="18"/>
        <v>1949540</v>
      </c>
      <c r="G302" s="125">
        <f t="shared" si="19"/>
        <v>20664000</v>
      </c>
      <c r="H302" s="125">
        <v>32</v>
      </c>
      <c r="I302" s="125">
        <v>20632</v>
      </c>
      <c r="J302" s="125">
        <v>0</v>
      </c>
      <c r="K302" s="125">
        <v>1216</v>
      </c>
      <c r="L302" s="125">
        <v>2150</v>
      </c>
      <c r="M302" s="125">
        <v>1438</v>
      </c>
      <c r="N302" s="125">
        <v>1483</v>
      </c>
      <c r="O302" s="125">
        <v>2893</v>
      </c>
      <c r="P302" s="125">
        <v>16529</v>
      </c>
      <c r="Q302" s="125">
        <v>609</v>
      </c>
      <c r="R302" s="125">
        <v>781</v>
      </c>
      <c r="S302" s="125">
        <v>123</v>
      </c>
      <c r="T302" s="125">
        <v>223</v>
      </c>
      <c r="U302" s="125">
        <v>162</v>
      </c>
      <c r="V302" s="125">
        <v>2750</v>
      </c>
      <c r="W302" s="125">
        <v>354</v>
      </c>
      <c r="X302" s="125">
        <v>133</v>
      </c>
      <c r="Y302" s="125">
        <v>7283</v>
      </c>
      <c r="Z302" s="125">
        <v>7288</v>
      </c>
    </row>
    <row r="303" spans="2:26" x14ac:dyDescent="0.2">
      <c r="B303" s="125" t="s">
        <v>412</v>
      </c>
      <c r="C303" s="125">
        <f t="shared" si="16"/>
        <v>6013.2857142857147</v>
      </c>
      <c r="D303" s="125">
        <f t="shared" si="16"/>
        <v>6580.4285714285716</v>
      </c>
      <c r="E303" s="125">
        <f t="shared" si="17"/>
        <v>7804518.4000000004</v>
      </c>
      <c r="F303" s="125">
        <f t="shared" si="18"/>
        <v>14562700</v>
      </c>
      <c r="G303" s="125">
        <f t="shared" si="19"/>
        <v>201165000</v>
      </c>
      <c r="H303" s="125">
        <v>134</v>
      </c>
      <c r="I303" s="125">
        <v>201031</v>
      </c>
      <c r="J303" s="125">
        <v>0</v>
      </c>
      <c r="K303" s="125">
        <v>5511</v>
      </c>
      <c r="L303" s="125">
        <v>5626</v>
      </c>
      <c r="M303" s="125">
        <v>19873</v>
      </c>
      <c r="N303" s="125">
        <v>21089</v>
      </c>
      <c r="O303" s="125">
        <v>2151</v>
      </c>
      <c r="P303" s="125">
        <v>5883</v>
      </c>
      <c r="Q303" s="125">
        <v>7885</v>
      </c>
      <c r="R303" s="125">
        <v>7742</v>
      </c>
      <c r="S303" s="125">
        <v>2852</v>
      </c>
      <c r="T303" s="125">
        <v>2557</v>
      </c>
      <c r="U303" s="125">
        <v>2911</v>
      </c>
      <c r="V303" s="125">
        <v>2205</v>
      </c>
      <c r="W303" s="125">
        <v>910</v>
      </c>
      <c r="X303" s="125">
        <v>961</v>
      </c>
      <c r="Y303" s="125">
        <v>54592</v>
      </c>
      <c r="Z303" s="125">
        <v>54440</v>
      </c>
    </row>
    <row r="304" spans="2:26" x14ac:dyDescent="0.2">
      <c r="B304" s="125" t="s">
        <v>195</v>
      </c>
      <c r="C304" s="125">
        <f t="shared" si="16"/>
        <v>628</v>
      </c>
      <c r="D304" s="125">
        <f t="shared" si="16"/>
        <v>624</v>
      </c>
      <c r="E304" s="125">
        <f t="shared" si="17"/>
        <v>703610.88000000012</v>
      </c>
      <c r="F304" s="125">
        <f t="shared" si="18"/>
        <v>1312890</v>
      </c>
      <c r="G304" s="125">
        <f t="shared" si="19"/>
        <v>19677000</v>
      </c>
      <c r="H304" s="125">
        <v>0</v>
      </c>
      <c r="I304" s="125">
        <v>19606</v>
      </c>
      <c r="J304" s="125">
        <v>71</v>
      </c>
      <c r="K304" s="125">
        <v>0</v>
      </c>
      <c r="L304" s="125">
        <v>23</v>
      </c>
      <c r="M304" s="125">
        <v>97</v>
      </c>
      <c r="N304" s="125">
        <v>20</v>
      </c>
      <c r="O304" s="125">
        <v>0</v>
      </c>
      <c r="P304" s="125">
        <v>25</v>
      </c>
      <c r="Q304" s="125">
        <v>0</v>
      </c>
      <c r="R304" s="125">
        <v>0</v>
      </c>
      <c r="S304" s="125">
        <v>1071</v>
      </c>
      <c r="T304" s="125">
        <v>1072</v>
      </c>
      <c r="U304" s="125">
        <v>978</v>
      </c>
      <c r="V304" s="125">
        <v>978</v>
      </c>
      <c r="W304" s="125">
        <v>2250</v>
      </c>
      <c r="X304" s="125">
        <v>2250</v>
      </c>
      <c r="Y304" s="125">
        <v>4858</v>
      </c>
      <c r="Z304" s="125">
        <v>4908</v>
      </c>
    </row>
    <row r="305" spans="2:26" x14ac:dyDescent="0.2">
      <c r="B305" s="125" t="s">
        <v>336</v>
      </c>
      <c r="C305" s="125">
        <f t="shared" si="16"/>
        <v>1324.7142857142858</v>
      </c>
      <c r="D305" s="125">
        <f t="shared" si="16"/>
        <v>1489.8571428571429</v>
      </c>
      <c r="E305" s="125">
        <f t="shared" si="17"/>
        <v>1947258.8800000001</v>
      </c>
      <c r="F305" s="125">
        <f t="shared" si="18"/>
        <v>3633452.5</v>
      </c>
      <c r="G305" s="125">
        <f t="shared" si="19"/>
        <v>42240000</v>
      </c>
      <c r="H305" s="125">
        <v>210</v>
      </c>
      <c r="I305" s="125">
        <v>39584</v>
      </c>
      <c r="J305" s="125">
        <v>2446</v>
      </c>
      <c r="K305" s="125">
        <v>2408</v>
      </c>
      <c r="L305" s="125">
        <v>3061</v>
      </c>
      <c r="M305" s="125">
        <v>1906</v>
      </c>
      <c r="N305" s="125">
        <v>2465</v>
      </c>
      <c r="O305" s="125">
        <v>471</v>
      </c>
      <c r="P305" s="125">
        <v>1003</v>
      </c>
      <c r="Q305" s="125">
        <v>1486</v>
      </c>
      <c r="R305" s="125">
        <v>946</v>
      </c>
      <c r="S305" s="125">
        <v>1757</v>
      </c>
      <c r="T305" s="125">
        <v>760</v>
      </c>
      <c r="U305" s="125">
        <v>354</v>
      </c>
      <c r="V305" s="125">
        <v>1135</v>
      </c>
      <c r="W305" s="125">
        <v>891</v>
      </c>
      <c r="X305" s="125">
        <v>1059</v>
      </c>
      <c r="Y305" s="125">
        <v>13544</v>
      </c>
      <c r="Z305" s="125">
        <v>13583</v>
      </c>
    </row>
    <row r="306" spans="2:26" x14ac:dyDescent="0.2">
      <c r="B306" s="125" t="s">
        <v>391</v>
      </c>
      <c r="C306" s="125">
        <f t="shared" si="16"/>
        <v>4939</v>
      </c>
      <c r="D306" s="125">
        <f t="shared" si="16"/>
        <v>5364.2857142857147</v>
      </c>
      <c r="E306" s="125">
        <f t="shared" si="17"/>
        <v>5246689.2800000003</v>
      </c>
      <c r="F306" s="125">
        <f t="shared" si="18"/>
        <v>9789965</v>
      </c>
      <c r="G306" s="125">
        <f t="shared" si="19"/>
        <v>64797000</v>
      </c>
      <c r="H306" s="125">
        <v>145</v>
      </c>
      <c r="I306" s="125">
        <v>64354</v>
      </c>
      <c r="J306" s="125">
        <v>298</v>
      </c>
      <c r="K306" s="125">
        <v>5890</v>
      </c>
      <c r="L306" s="125">
        <v>5923</v>
      </c>
      <c r="M306" s="125">
        <v>2116</v>
      </c>
      <c r="N306" s="125">
        <v>2194</v>
      </c>
      <c r="O306" s="125">
        <v>4551</v>
      </c>
      <c r="P306" s="125">
        <v>5605</v>
      </c>
      <c r="Q306" s="125">
        <v>4920</v>
      </c>
      <c r="R306" s="125">
        <v>6308</v>
      </c>
      <c r="S306" s="125">
        <v>3878</v>
      </c>
      <c r="T306" s="125">
        <v>3950</v>
      </c>
      <c r="U306" s="125">
        <v>6793</v>
      </c>
      <c r="V306" s="125">
        <v>6359</v>
      </c>
      <c r="W306" s="125">
        <v>6425</v>
      </c>
      <c r="X306" s="125">
        <v>7211</v>
      </c>
      <c r="Y306" s="125">
        <v>36092</v>
      </c>
      <c r="Z306" s="125">
        <v>36598</v>
      </c>
    </row>
    <row r="307" spans="2:26" x14ac:dyDescent="0.2">
      <c r="B307" s="125" t="s">
        <v>413</v>
      </c>
      <c r="C307" s="125">
        <f t="shared" si="16"/>
        <v>10051.285714285714</v>
      </c>
      <c r="D307" s="125">
        <f t="shared" si="16"/>
        <v>11569.142857142857</v>
      </c>
      <c r="E307" s="125">
        <f t="shared" si="17"/>
        <v>3668295.6800000002</v>
      </c>
      <c r="F307" s="125">
        <f t="shared" si="18"/>
        <v>6844790</v>
      </c>
      <c r="G307" s="125">
        <f t="shared" si="19"/>
        <v>40974000</v>
      </c>
      <c r="H307" s="125">
        <v>2031</v>
      </c>
      <c r="I307" s="125">
        <v>38655</v>
      </c>
      <c r="J307" s="125">
        <v>288</v>
      </c>
      <c r="K307" s="125">
        <v>15571</v>
      </c>
      <c r="L307" s="125">
        <v>14645</v>
      </c>
      <c r="M307" s="125">
        <v>10008</v>
      </c>
      <c r="N307" s="125">
        <v>12539</v>
      </c>
      <c r="O307" s="125">
        <v>5518</v>
      </c>
      <c r="P307" s="125">
        <v>8265</v>
      </c>
      <c r="Q307" s="125">
        <v>7924</v>
      </c>
      <c r="R307" s="125">
        <v>9009</v>
      </c>
      <c r="S307" s="125">
        <v>12709</v>
      </c>
      <c r="T307" s="125">
        <v>12940</v>
      </c>
      <c r="U307" s="125">
        <v>16868</v>
      </c>
      <c r="V307" s="125">
        <v>20530</v>
      </c>
      <c r="W307" s="125">
        <v>1761</v>
      </c>
      <c r="X307" s="125">
        <v>3056</v>
      </c>
      <c r="Y307" s="125">
        <v>25526</v>
      </c>
      <c r="Z307" s="125">
        <v>25588</v>
      </c>
    </row>
    <row r="308" spans="2:26" x14ac:dyDescent="0.2">
      <c r="B308" s="125" t="s">
        <v>266</v>
      </c>
      <c r="C308" s="125">
        <f t="shared" si="16"/>
        <v>7926.8571428571431</v>
      </c>
      <c r="D308" s="125">
        <f t="shared" si="16"/>
        <v>8783.8571428571431</v>
      </c>
      <c r="E308" s="125">
        <f t="shared" si="17"/>
        <v>5944995.8400000008</v>
      </c>
      <c r="F308" s="125">
        <f t="shared" si="18"/>
        <v>11092957.5</v>
      </c>
      <c r="G308" s="125">
        <f t="shared" si="19"/>
        <v>97212000</v>
      </c>
      <c r="H308" s="125">
        <v>2200</v>
      </c>
      <c r="I308" s="125">
        <v>94877</v>
      </c>
      <c r="J308" s="125">
        <v>135</v>
      </c>
      <c r="K308" s="125">
        <v>7261</v>
      </c>
      <c r="L308" s="125">
        <v>6345</v>
      </c>
      <c r="M308" s="125">
        <v>4382</v>
      </c>
      <c r="N308" s="125">
        <v>5158</v>
      </c>
      <c r="O308" s="125">
        <v>2817</v>
      </c>
      <c r="P308" s="125">
        <v>4389</v>
      </c>
      <c r="Q308" s="125">
        <v>10580</v>
      </c>
      <c r="R308" s="125">
        <v>12134</v>
      </c>
      <c r="S308" s="125">
        <v>6586</v>
      </c>
      <c r="T308" s="125">
        <v>6907</v>
      </c>
      <c r="U308" s="125">
        <v>9641</v>
      </c>
      <c r="V308" s="125">
        <v>11590</v>
      </c>
      <c r="W308" s="125">
        <v>14221</v>
      </c>
      <c r="X308" s="125">
        <v>14964</v>
      </c>
      <c r="Y308" s="125">
        <v>41491</v>
      </c>
      <c r="Z308" s="125">
        <v>41469</v>
      </c>
    </row>
    <row r="309" spans="2:26" x14ac:dyDescent="0.2">
      <c r="B309" s="125" t="s">
        <v>467</v>
      </c>
      <c r="C309" s="125">
        <f t="shared" si="16"/>
        <v>57429.714285714283</v>
      </c>
      <c r="D309" s="125">
        <f t="shared" si="16"/>
        <v>70958.857142857145</v>
      </c>
      <c r="E309" s="125">
        <f t="shared" si="17"/>
        <v>30912860.160000004</v>
      </c>
      <c r="F309" s="125">
        <f t="shared" si="18"/>
        <v>57681292.5</v>
      </c>
      <c r="G309" s="125">
        <f t="shared" si="19"/>
        <v>776263000</v>
      </c>
      <c r="H309" s="125">
        <v>525</v>
      </c>
      <c r="I309" s="125">
        <v>752104</v>
      </c>
      <c r="J309" s="125">
        <v>23634</v>
      </c>
      <c r="K309" s="125">
        <v>64950</v>
      </c>
      <c r="L309" s="125">
        <v>97594</v>
      </c>
      <c r="M309" s="125">
        <v>82292</v>
      </c>
      <c r="N309" s="125">
        <v>81184</v>
      </c>
      <c r="O309" s="125">
        <v>-41120</v>
      </c>
      <c r="P309" s="125">
        <v>98655</v>
      </c>
      <c r="Q309" s="125">
        <v>96403</v>
      </c>
      <c r="R309" s="125">
        <v>59947</v>
      </c>
      <c r="S309" s="125">
        <v>62102</v>
      </c>
      <c r="T309" s="125">
        <v>66087</v>
      </c>
      <c r="U309" s="125">
        <v>62351</v>
      </c>
      <c r="V309" s="125">
        <v>42806</v>
      </c>
      <c r="W309" s="125">
        <v>75030</v>
      </c>
      <c r="X309" s="125">
        <v>50439</v>
      </c>
      <c r="Y309" s="125">
        <v>213840</v>
      </c>
      <c r="Z309" s="125">
        <v>215631</v>
      </c>
    </row>
    <row r="310" spans="2:26" x14ac:dyDescent="0.2">
      <c r="B310" s="125" t="s">
        <v>218</v>
      </c>
      <c r="C310" s="125">
        <f t="shared" si="16"/>
        <v>4174.2857142857147</v>
      </c>
      <c r="D310" s="125">
        <f t="shared" si="16"/>
        <v>4137.4285714285716</v>
      </c>
      <c r="E310" s="125">
        <f t="shared" si="17"/>
        <v>3041525.7600000002</v>
      </c>
      <c r="F310" s="125">
        <f t="shared" si="18"/>
        <v>5675280</v>
      </c>
      <c r="G310" s="125">
        <f t="shared" si="19"/>
        <v>31004000</v>
      </c>
      <c r="H310" s="125">
        <v>269</v>
      </c>
      <c r="I310" s="125">
        <v>30431</v>
      </c>
      <c r="J310" s="125">
        <v>304</v>
      </c>
      <c r="K310" s="125">
        <v>1853</v>
      </c>
      <c r="L310" s="125">
        <v>2187</v>
      </c>
      <c r="M310" s="125">
        <v>3586</v>
      </c>
      <c r="N310" s="125">
        <v>3390</v>
      </c>
      <c r="O310" s="125">
        <v>3274</v>
      </c>
      <c r="P310" s="125">
        <v>4952</v>
      </c>
      <c r="Q310" s="125">
        <v>2249</v>
      </c>
      <c r="R310" s="125">
        <v>2551</v>
      </c>
      <c r="S310" s="125">
        <v>5161</v>
      </c>
      <c r="T310" s="125">
        <v>5402</v>
      </c>
      <c r="U310" s="125">
        <v>3606</v>
      </c>
      <c r="V310" s="125">
        <v>3438</v>
      </c>
      <c r="W310" s="125">
        <v>9491</v>
      </c>
      <c r="X310" s="125">
        <v>7042</v>
      </c>
      <c r="Y310" s="125">
        <v>21152</v>
      </c>
      <c r="Z310" s="125">
        <v>21216</v>
      </c>
    </row>
    <row r="311" spans="2:26" x14ac:dyDescent="0.2">
      <c r="B311" s="125" t="s">
        <v>219</v>
      </c>
      <c r="C311" s="125">
        <f t="shared" si="16"/>
        <v>6198.8571428571431</v>
      </c>
      <c r="D311" s="125">
        <f t="shared" si="16"/>
        <v>7093.8571428571431</v>
      </c>
      <c r="E311" s="125">
        <f t="shared" si="17"/>
        <v>4860620.8000000007</v>
      </c>
      <c r="F311" s="125">
        <f t="shared" si="18"/>
        <v>9069587.5</v>
      </c>
      <c r="G311" s="125">
        <f t="shared" si="19"/>
        <v>62557000</v>
      </c>
      <c r="H311" s="125">
        <v>63</v>
      </c>
      <c r="I311" s="125">
        <v>62253</v>
      </c>
      <c r="J311" s="125">
        <v>241</v>
      </c>
      <c r="K311" s="125">
        <v>6500</v>
      </c>
      <c r="L311" s="125">
        <v>7833</v>
      </c>
      <c r="M311" s="125">
        <v>7296</v>
      </c>
      <c r="N311" s="125">
        <v>7033</v>
      </c>
      <c r="O311" s="125">
        <v>7331</v>
      </c>
      <c r="P311" s="125">
        <v>10354</v>
      </c>
      <c r="Q311" s="125">
        <v>4109</v>
      </c>
      <c r="R311" s="125">
        <v>5315</v>
      </c>
      <c r="S311" s="125">
        <v>6589</v>
      </c>
      <c r="T311" s="125">
        <v>6750</v>
      </c>
      <c r="U311" s="125">
        <v>8275</v>
      </c>
      <c r="V311" s="125">
        <v>9173</v>
      </c>
      <c r="W311" s="125">
        <v>3292</v>
      </c>
      <c r="X311" s="125">
        <v>3199</v>
      </c>
      <c r="Y311" s="125">
        <v>33843</v>
      </c>
      <c r="Z311" s="125">
        <v>33905</v>
      </c>
    </row>
    <row r="312" spans="2:26" x14ac:dyDescent="0.2">
      <c r="B312" s="125" t="s">
        <v>152</v>
      </c>
      <c r="C312" s="125">
        <f t="shared" si="16"/>
        <v>15067</v>
      </c>
      <c r="D312" s="125">
        <f t="shared" si="16"/>
        <v>17204.714285714286</v>
      </c>
      <c r="E312" s="125">
        <f t="shared" si="17"/>
        <v>4797542.4000000004</v>
      </c>
      <c r="F312" s="125">
        <f t="shared" si="18"/>
        <v>8951887.5</v>
      </c>
      <c r="G312" s="125">
        <f t="shared" si="19"/>
        <v>67705000</v>
      </c>
      <c r="H312" s="125">
        <v>4</v>
      </c>
      <c r="I312" s="125">
        <v>67651</v>
      </c>
      <c r="J312" s="125">
        <v>50</v>
      </c>
      <c r="K312" s="125">
        <v>16881</v>
      </c>
      <c r="L312" s="125">
        <v>20869</v>
      </c>
      <c r="M312" s="125">
        <v>16924</v>
      </c>
      <c r="N312" s="125">
        <v>20788</v>
      </c>
      <c r="O312" s="125">
        <v>16804</v>
      </c>
      <c r="P312" s="125">
        <v>19551</v>
      </c>
      <c r="Q312" s="125">
        <v>8651</v>
      </c>
      <c r="R312" s="125">
        <v>14114</v>
      </c>
      <c r="S312" s="125">
        <v>17922</v>
      </c>
      <c r="T312" s="125">
        <v>17881</v>
      </c>
      <c r="U312" s="125">
        <v>16379</v>
      </c>
      <c r="V312" s="125">
        <v>15897</v>
      </c>
      <c r="W312" s="125">
        <v>11908</v>
      </c>
      <c r="X312" s="125">
        <v>11333</v>
      </c>
      <c r="Y312" s="125">
        <v>33280</v>
      </c>
      <c r="Z312" s="125">
        <v>33465</v>
      </c>
    </row>
    <row r="313" spans="2:26" x14ac:dyDescent="0.2">
      <c r="B313" s="125" t="s">
        <v>196</v>
      </c>
      <c r="C313" s="125">
        <f t="shared" si="16"/>
        <v>1937.5714285714287</v>
      </c>
      <c r="D313" s="125">
        <f t="shared" si="16"/>
        <v>3577.5714285714284</v>
      </c>
      <c r="E313" s="125">
        <f t="shared" si="17"/>
        <v>4570173.4400000004</v>
      </c>
      <c r="F313" s="125">
        <f t="shared" si="18"/>
        <v>8527632.5</v>
      </c>
      <c r="G313" s="125">
        <f t="shared" si="19"/>
        <v>51766000</v>
      </c>
      <c r="H313" s="125">
        <v>0</v>
      </c>
      <c r="I313" s="125">
        <v>51766</v>
      </c>
      <c r="J313" s="125">
        <v>0</v>
      </c>
      <c r="K313" s="125">
        <v>7368</v>
      </c>
      <c r="L313" s="125">
        <v>7022</v>
      </c>
      <c r="M313" s="125">
        <v>330</v>
      </c>
      <c r="N313" s="125">
        <v>3249</v>
      </c>
      <c r="O313" s="125">
        <v>4640</v>
      </c>
      <c r="P313" s="125">
        <v>8548</v>
      </c>
      <c r="Q313" s="125">
        <v>37</v>
      </c>
      <c r="R313" s="125">
        <v>1707</v>
      </c>
      <c r="S313" s="125">
        <v>140</v>
      </c>
      <c r="T313" s="125">
        <v>1974</v>
      </c>
      <c r="U313" s="125">
        <v>685</v>
      </c>
      <c r="V313" s="125">
        <v>2142</v>
      </c>
      <c r="W313" s="125">
        <v>363</v>
      </c>
      <c r="X313" s="125">
        <v>401</v>
      </c>
      <c r="Y313" s="125">
        <v>31980</v>
      </c>
      <c r="Z313" s="125">
        <v>31879</v>
      </c>
    </row>
    <row r="314" spans="2:26" x14ac:dyDescent="0.2">
      <c r="B314" s="125" t="s">
        <v>468</v>
      </c>
      <c r="C314" s="125">
        <f t="shared" ref="C314:D378" si="20">SUM(K314,M314,O314,Q314,S314,U314,W314)/7</f>
        <v>15864.285714285714</v>
      </c>
      <c r="D314" s="125">
        <f t="shared" si="20"/>
        <v>16598.857142857141</v>
      </c>
      <c r="E314" s="125">
        <f t="shared" ref="E314:E378" si="21">Z314*143.36</f>
        <v>5982699.5200000005</v>
      </c>
      <c r="F314" s="125">
        <f t="shared" ref="F314:F378" si="22">Z314*$AB$3</f>
        <v>11163310</v>
      </c>
      <c r="G314" s="125">
        <f t="shared" si="19"/>
        <v>105493000</v>
      </c>
      <c r="H314" s="125">
        <v>809</v>
      </c>
      <c r="I314" s="125">
        <v>100772</v>
      </c>
      <c r="J314" s="125">
        <v>3912</v>
      </c>
      <c r="K314" s="125">
        <v>27374</v>
      </c>
      <c r="L314" s="125">
        <v>37051</v>
      </c>
      <c r="M314" s="125">
        <v>15119</v>
      </c>
      <c r="N314" s="125">
        <v>23336</v>
      </c>
      <c r="O314" s="125">
        <v>18390</v>
      </c>
      <c r="P314" s="125">
        <v>19017</v>
      </c>
      <c r="Q314" s="125">
        <v>11163</v>
      </c>
      <c r="R314" s="125">
        <v>11108</v>
      </c>
      <c r="S314" s="125">
        <v>13092</v>
      </c>
      <c r="T314" s="125">
        <v>13050</v>
      </c>
      <c r="U314" s="125">
        <v>14490</v>
      </c>
      <c r="V314" s="125">
        <v>6695</v>
      </c>
      <c r="W314" s="125">
        <v>11422</v>
      </c>
      <c r="X314" s="125">
        <v>5935</v>
      </c>
      <c r="Y314" s="125">
        <v>41387</v>
      </c>
      <c r="Z314" s="125">
        <v>41732</v>
      </c>
    </row>
    <row r="315" spans="2:26" x14ac:dyDescent="0.2">
      <c r="B315" s="125" t="s">
        <v>337</v>
      </c>
      <c r="C315" s="125">
        <f t="shared" si="20"/>
        <v>1842.8571428571429</v>
      </c>
      <c r="D315" s="125">
        <f t="shared" si="20"/>
        <v>2043.2857142857142</v>
      </c>
      <c r="E315" s="125">
        <f t="shared" si="21"/>
        <v>1939087.3600000001</v>
      </c>
      <c r="F315" s="125">
        <f t="shared" si="22"/>
        <v>3618205</v>
      </c>
      <c r="G315" s="125">
        <f t="shared" si="19"/>
        <v>17838000</v>
      </c>
      <c r="H315" s="125">
        <v>62</v>
      </c>
      <c r="I315" s="125">
        <v>16601</v>
      </c>
      <c r="J315" s="125">
        <v>1175</v>
      </c>
      <c r="K315" s="125">
        <v>1196</v>
      </c>
      <c r="L315" s="125">
        <v>1406</v>
      </c>
      <c r="M315" s="125">
        <v>4052</v>
      </c>
      <c r="N315" s="125">
        <v>4484</v>
      </c>
      <c r="O315" s="125">
        <v>979</v>
      </c>
      <c r="P315" s="125">
        <v>4231</v>
      </c>
      <c r="Q315" s="125">
        <v>802</v>
      </c>
      <c r="R315" s="125">
        <v>880</v>
      </c>
      <c r="S315" s="125">
        <v>1013</v>
      </c>
      <c r="T315" s="125">
        <v>1025</v>
      </c>
      <c r="U315" s="125">
        <v>2140</v>
      </c>
      <c r="V315" s="125">
        <v>762</v>
      </c>
      <c r="W315" s="125">
        <v>2718</v>
      </c>
      <c r="X315" s="125">
        <v>1515</v>
      </c>
      <c r="Y315" s="125">
        <v>13470</v>
      </c>
      <c r="Z315" s="125">
        <v>13526</v>
      </c>
    </row>
    <row r="316" spans="2:26" x14ac:dyDescent="0.2">
      <c r="B316" s="125" t="s">
        <v>338</v>
      </c>
      <c r="C316" s="125">
        <f t="shared" si="20"/>
        <v>7714.7142857142853</v>
      </c>
      <c r="D316" s="125">
        <f t="shared" si="20"/>
        <v>9742</v>
      </c>
      <c r="E316" s="125">
        <f t="shared" si="21"/>
        <v>4218368</v>
      </c>
      <c r="F316" s="125">
        <f t="shared" si="22"/>
        <v>7871187.5</v>
      </c>
      <c r="G316" s="125">
        <f t="shared" si="19"/>
        <v>90874000</v>
      </c>
      <c r="H316" s="125">
        <v>1059</v>
      </c>
      <c r="I316" s="125">
        <v>89815</v>
      </c>
      <c r="J316" s="125">
        <v>0</v>
      </c>
      <c r="K316" s="125">
        <v>6815</v>
      </c>
      <c r="L316" s="125">
        <v>6934</v>
      </c>
      <c r="M316" s="125">
        <v>8897</v>
      </c>
      <c r="N316" s="125">
        <v>8953</v>
      </c>
      <c r="O316" s="125">
        <v>5586</v>
      </c>
      <c r="P316" s="125">
        <v>13418</v>
      </c>
      <c r="Q316" s="125">
        <v>8332</v>
      </c>
      <c r="R316" s="125">
        <v>11045</v>
      </c>
      <c r="S316" s="125">
        <v>9515</v>
      </c>
      <c r="T316" s="125">
        <v>10552</v>
      </c>
      <c r="U316" s="125">
        <v>8092</v>
      </c>
      <c r="V316" s="125">
        <v>8911</v>
      </c>
      <c r="W316" s="125">
        <v>6766</v>
      </c>
      <c r="X316" s="125">
        <v>8381</v>
      </c>
      <c r="Y316" s="125">
        <v>29201</v>
      </c>
      <c r="Z316" s="125">
        <v>29425</v>
      </c>
    </row>
    <row r="317" spans="2:26" x14ac:dyDescent="0.2">
      <c r="B317" s="125" t="s">
        <v>515</v>
      </c>
      <c r="C317" s="125">
        <f t="shared" si="20"/>
        <v>4615.8571428571431</v>
      </c>
      <c r="D317" s="125">
        <f t="shared" si="20"/>
        <v>4218.5714285714284</v>
      </c>
      <c r="E317" s="125">
        <f t="shared" si="21"/>
        <v>2942177.2800000003</v>
      </c>
      <c r="F317" s="125">
        <f t="shared" si="22"/>
        <v>5489902.5</v>
      </c>
      <c r="G317" s="125">
        <f t="shared" si="19"/>
        <v>56322000</v>
      </c>
      <c r="H317" s="125">
        <v>256</v>
      </c>
      <c r="I317" s="125">
        <v>50093</v>
      </c>
      <c r="J317" s="125">
        <v>5973</v>
      </c>
      <c r="K317" s="125">
        <v>3196</v>
      </c>
      <c r="L317" s="125">
        <v>3334</v>
      </c>
      <c r="M317" s="125">
        <v>3500</v>
      </c>
      <c r="N317" s="125">
        <v>3647</v>
      </c>
      <c r="O317" s="125">
        <v>6038</v>
      </c>
      <c r="P317" s="125">
        <v>5659</v>
      </c>
      <c r="Q317" s="125">
        <v>3021</v>
      </c>
      <c r="R317" s="125">
        <v>3359</v>
      </c>
      <c r="S317" s="125">
        <v>8124</v>
      </c>
      <c r="T317" s="125">
        <v>5990</v>
      </c>
      <c r="U317" s="125">
        <v>3642</v>
      </c>
      <c r="V317" s="125">
        <v>3701</v>
      </c>
      <c r="W317" s="125">
        <v>4790</v>
      </c>
      <c r="X317" s="125">
        <v>3840</v>
      </c>
      <c r="Y317" s="125">
        <v>20220</v>
      </c>
      <c r="Z317" s="125">
        <v>20523</v>
      </c>
    </row>
    <row r="318" spans="2:26" x14ac:dyDescent="0.2">
      <c r="B318" s="125" t="s">
        <v>293</v>
      </c>
      <c r="C318" s="125">
        <f t="shared" si="20"/>
        <v>359915.28571428574</v>
      </c>
      <c r="D318" s="125">
        <f t="shared" si="20"/>
        <v>330540.85714285716</v>
      </c>
      <c r="E318" s="125">
        <f t="shared" si="21"/>
        <v>49821327.360000007</v>
      </c>
      <c r="F318" s="125">
        <f t="shared" si="22"/>
        <v>92963205</v>
      </c>
      <c r="G318" s="125">
        <f t="shared" si="19"/>
        <v>1465159000</v>
      </c>
      <c r="H318" s="125">
        <v>9169</v>
      </c>
      <c r="I318" s="125">
        <v>1449765</v>
      </c>
      <c r="J318" s="125">
        <v>6225</v>
      </c>
      <c r="K318" s="125">
        <v>310500</v>
      </c>
      <c r="L318" s="125">
        <v>268351</v>
      </c>
      <c r="M318" s="125">
        <v>354524</v>
      </c>
      <c r="N318" s="125">
        <v>404172</v>
      </c>
      <c r="O318" s="125">
        <v>279850</v>
      </c>
      <c r="P318" s="125">
        <v>206831</v>
      </c>
      <c r="Q318" s="125">
        <v>189077</v>
      </c>
      <c r="R318" s="125">
        <v>163332</v>
      </c>
      <c r="S318" s="125">
        <v>244806</v>
      </c>
      <c r="T318" s="125">
        <v>222717</v>
      </c>
      <c r="U318" s="125">
        <v>874455</v>
      </c>
      <c r="V318" s="125">
        <v>842813</v>
      </c>
      <c r="W318" s="125">
        <v>266195</v>
      </c>
      <c r="X318" s="125">
        <v>205570</v>
      </c>
      <c r="Y318" s="125">
        <v>343086</v>
      </c>
      <c r="Z318" s="125">
        <v>347526</v>
      </c>
    </row>
    <row r="319" spans="2:26" x14ac:dyDescent="0.2">
      <c r="B319" s="125" t="s">
        <v>294</v>
      </c>
      <c r="C319" s="125">
        <f t="shared" si="20"/>
        <v>4757.8571428571431</v>
      </c>
      <c r="D319" s="125">
        <f t="shared" si="20"/>
        <v>4722.1428571428569</v>
      </c>
      <c r="E319" s="125">
        <f t="shared" si="21"/>
        <v>7073382.4000000004</v>
      </c>
      <c r="F319" s="125">
        <f t="shared" si="22"/>
        <v>13198450</v>
      </c>
      <c r="G319" s="125">
        <f t="shared" si="19"/>
        <v>142561000</v>
      </c>
      <c r="H319" s="125">
        <v>2417</v>
      </c>
      <c r="I319" s="125">
        <v>139496</v>
      </c>
      <c r="J319" s="125">
        <v>648</v>
      </c>
      <c r="K319" s="125">
        <v>2273</v>
      </c>
      <c r="L319" s="125">
        <v>1188</v>
      </c>
      <c r="M319" s="125">
        <v>17532</v>
      </c>
      <c r="N319" s="125">
        <v>15547</v>
      </c>
      <c r="O319" s="125">
        <v>2028</v>
      </c>
      <c r="P319" s="125">
        <v>2314</v>
      </c>
      <c r="Q319" s="125">
        <v>1656</v>
      </c>
      <c r="R319" s="125">
        <v>2459</v>
      </c>
      <c r="S319" s="125">
        <v>1033</v>
      </c>
      <c r="T319" s="125">
        <v>2658</v>
      </c>
      <c r="U319" s="125">
        <v>2458</v>
      </c>
      <c r="V319" s="125">
        <v>4739</v>
      </c>
      <c r="W319" s="125">
        <v>6325</v>
      </c>
      <c r="X319" s="125">
        <v>4150</v>
      </c>
      <c r="Y319" s="125">
        <v>49013</v>
      </c>
      <c r="Z319" s="125">
        <v>49340</v>
      </c>
    </row>
    <row r="320" spans="2:26" x14ac:dyDescent="0.2">
      <c r="B320" s="125" t="s">
        <v>505</v>
      </c>
      <c r="C320" s="125">
        <f t="shared" si="20"/>
        <v>446</v>
      </c>
      <c r="D320" s="125">
        <f t="shared" si="20"/>
        <v>446</v>
      </c>
      <c r="E320" s="125">
        <f t="shared" si="21"/>
        <v>1415536.6400000001</v>
      </c>
      <c r="F320" s="125">
        <f t="shared" si="22"/>
        <v>2641295</v>
      </c>
      <c r="G320" s="125">
        <f t="shared" si="19"/>
        <v>30330000</v>
      </c>
      <c r="H320" s="125">
        <v>714</v>
      </c>
      <c r="I320" s="125">
        <v>29516</v>
      </c>
      <c r="J320" s="125">
        <v>100</v>
      </c>
      <c r="K320" s="125">
        <v>0</v>
      </c>
      <c r="L320" s="125">
        <v>0</v>
      </c>
      <c r="M320" s="125">
        <v>3122</v>
      </c>
      <c r="N320" s="125">
        <v>3122</v>
      </c>
      <c r="O320" s="125">
        <v>0</v>
      </c>
      <c r="P320" s="125">
        <v>0</v>
      </c>
      <c r="Q320" s="125">
        <v>0</v>
      </c>
      <c r="R320" s="125">
        <v>0</v>
      </c>
      <c r="S320" s="125">
        <v>0</v>
      </c>
      <c r="T320" s="125">
        <v>0</v>
      </c>
      <c r="U320" s="125">
        <v>0</v>
      </c>
      <c r="V320" s="125">
        <v>0</v>
      </c>
      <c r="W320" s="125">
        <v>0</v>
      </c>
      <c r="X320" s="125">
        <v>0</v>
      </c>
      <c r="Y320" s="125">
        <v>9703</v>
      </c>
      <c r="Z320" s="125">
        <v>9874</v>
      </c>
    </row>
    <row r="321" spans="2:35" x14ac:dyDescent="0.2">
      <c r="B321" s="125" t="s">
        <v>506</v>
      </c>
      <c r="C321" s="125">
        <f t="shared" si="20"/>
        <v>2699.1428571428573</v>
      </c>
      <c r="D321" s="125">
        <f t="shared" si="20"/>
        <v>4059.8571428571427</v>
      </c>
      <c r="E321" s="125">
        <f t="shared" si="21"/>
        <v>2355118.0800000001</v>
      </c>
      <c r="F321" s="125">
        <f t="shared" si="22"/>
        <v>4394490</v>
      </c>
      <c r="G321" s="125">
        <f t="shared" si="19"/>
        <v>56473000</v>
      </c>
      <c r="H321" s="125">
        <v>1613</v>
      </c>
      <c r="I321" s="125">
        <v>54608</v>
      </c>
      <c r="J321" s="125">
        <v>252</v>
      </c>
      <c r="K321" s="125">
        <v>0</v>
      </c>
      <c r="L321" s="125">
        <v>305</v>
      </c>
      <c r="M321" s="125">
        <v>7108</v>
      </c>
      <c r="N321" s="125">
        <v>7110</v>
      </c>
      <c r="O321" s="125">
        <v>1708</v>
      </c>
      <c r="P321" s="125">
        <v>3576</v>
      </c>
      <c r="Q321" s="125">
        <v>1405</v>
      </c>
      <c r="R321" s="125">
        <v>2290</v>
      </c>
      <c r="S321" s="125">
        <v>8179</v>
      </c>
      <c r="T321" s="125">
        <v>8443</v>
      </c>
      <c r="U321" s="125">
        <v>143</v>
      </c>
      <c r="V321" s="125">
        <v>-29</v>
      </c>
      <c r="W321" s="125">
        <v>351</v>
      </c>
      <c r="X321" s="125">
        <v>6724</v>
      </c>
      <c r="Y321" s="125">
        <v>16440</v>
      </c>
      <c r="Z321" s="125">
        <v>16428</v>
      </c>
    </row>
    <row r="322" spans="2:35" x14ac:dyDescent="0.2">
      <c r="B322" s="125" t="s">
        <v>469</v>
      </c>
      <c r="C322" s="125">
        <f t="shared" si="20"/>
        <v>5120.2857142857147</v>
      </c>
      <c r="D322" s="125">
        <f t="shared" si="20"/>
        <v>5917.4285714285716</v>
      </c>
      <c r="E322" s="125">
        <f t="shared" si="21"/>
        <v>4395130.8800000008</v>
      </c>
      <c r="F322" s="125">
        <f t="shared" si="22"/>
        <v>8201015</v>
      </c>
      <c r="G322" s="125">
        <f t="shared" si="19"/>
        <v>79030000</v>
      </c>
      <c r="H322" s="125">
        <v>286</v>
      </c>
      <c r="I322" s="125">
        <v>78712</v>
      </c>
      <c r="J322" s="125">
        <v>32</v>
      </c>
      <c r="K322" s="125">
        <v>9083</v>
      </c>
      <c r="L322" s="125">
        <v>7803</v>
      </c>
      <c r="M322" s="125">
        <v>5087</v>
      </c>
      <c r="N322" s="125">
        <v>5088</v>
      </c>
      <c r="O322" s="125">
        <v>5767</v>
      </c>
      <c r="P322" s="125">
        <v>9187</v>
      </c>
      <c r="Q322" s="125">
        <v>4816</v>
      </c>
      <c r="R322" s="125">
        <v>7264</v>
      </c>
      <c r="S322" s="125">
        <v>4593</v>
      </c>
      <c r="T322" s="125">
        <v>4964</v>
      </c>
      <c r="U322" s="125">
        <v>3533</v>
      </c>
      <c r="V322" s="125">
        <v>3966</v>
      </c>
      <c r="W322" s="125">
        <v>2963</v>
      </c>
      <c r="X322" s="125">
        <v>3150</v>
      </c>
      <c r="Y322" s="125">
        <v>30515</v>
      </c>
      <c r="Z322" s="125">
        <v>30658</v>
      </c>
    </row>
    <row r="323" spans="2:35" x14ac:dyDescent="0.2">
      <c r="B323" s="125" t="s">
        <v>175</v>
      </c>
      <c r="C323" s="125">
        <f t="shared" si="20"/>
        <v>12286.857142857143</v>
      </c>
      <c r="D323" s="125">
        <f t="shared" si="20"/>
        <v>10108.571428571429</v>
      </c>
      <c r="E323" s="125">
        <f t="shared" si="21"/>
        <v>3945410.5600000005</v>
      </c>
      <c r="F323" s="125">
        <f t="shared" si="22"/>
        <v>7361867.5</v>
      </c>
      <c r="G323" s="125">
        <f t="shared" ref="G323:G381" si="23">SUM(H323:J323)*1000</f>
        <v>50808000</v>
      </c>
      <c r="H323" s="125">
        <v>0</v>
      </c>
      <c r="I323" s="125">
        <v>50180</v>
      </c>
      <c r="J323" s="125">
        <v>628</v>
      </c>
      <c r="K323" s="125">
        <v>11076</v>
      </c>
      <c r="L323" s="125">
        <v>12047</v>
      </c>
      <c r="M323" s="125">
        <v>7522</v>
      </c>
      <c r="N323" s="125">
        <v>11948</v>
      </c>
      <c r="O323" s="125">
        <v>53087</v>
      </c>
      <c r="P323" s="125">
        <v>24950</v>
      </c>
      <c r="Q323" s="125">
        <v>1380</v>
      </c>
      <c r="R323" s="125">
        <v>6960</v>
      </c>
      <c r="S323" s="125">
        <v>2516</v>
      </c>
      <c r="T323" s="125">
        <v>3237</v>
      </c>
      <c r="U323" s="125">
        <v>4658</v>
      </c>
      <c r="V323" s="125">
        <v>4426</v>
      </c>
      <c r="W323" s="125">
        <v>5769</v>
      </c>
      <c r="X323" s="125">
        <v>7192</v>
      </c>
      <c r="Y323" s="125">
        <v>27526</v>
      </c>
      <c r="Z323" s="125">
        <v>27521</v>
      </c>
    </row>
    <row r="324" spans="2:35" x14ac:dyDescent="0.2">
      <c r="B324" s="125" t="s">
        <v>295</v>
      </c>
      <c r="C324" s="125">
        <f t="shared" si="20"/>
        <v>22724.714285714286</v>
      </c>
      <c r="D324" s="125">
        <f t="shared" si="20"/>
        <v>23436.571428571428</v>
      </c>
      <c r="E324" s="125">
        <f t="shared" si="21"/>
        <v>9306644.4800000004</v>
      </c>
      <c r="F324" s="125">
        <f t="shared" si="22"/>
        <v>17365565</v>
      </c>
      <c r="G324" s="125">
        <f t="shared" si="23"/>
        <v>233035000</v>
      </c>
      <c r="H324" s="125">
        <v>494</v>
      </c>
      <c r="I324" s="125">
        <v>229659</v>
      </c>
      <c r="J324" s="125">
        <v>2882</v>
      </c>
      <c r="K324" s="125">
        <v>40284</v>
      </c>
      <c r="L324" s="125">
        <v>39577</v>
      </c>
      <c r="M324" s="125">
        <v>45177</v>
      </c>
      <c r="N324" s="125">
        <v>47639</v>
      </c>
      <c r="O324" s="125">
        <v>22887</v>
      </c>
      <c r="P324" s="125">
        <v>27095</v>
      </c>
      <c r="Q324" s="125">
        <v>20881</v>
      </c>
      <c r="R324" s="125">
        <v>20637</v>
      </c>
      <c r="S324" s="125">
        <v>8859</v>
      </c>
      <c r="T324" s="125">
        <v>9341</v>
      </c>
      <c r="U324" s="125">
        <v>6968</v>
      </c>
      <c r="V324" s="125">
        <v>7706</v>
      </c>
      <c r="W324" s="125">
        <v>14017</v>
      </c>
      <c r="X324" s="125">
        <v>12061</v>
      </c>
      <c r="Y324" s="125">
        <v>64284</v>
      </c>
      <c r="Z324" s="125">
        <v>64918</v>
      </c>
    </row>
    <row r="325" spans="2:35" x14ac:dyDescent="0.2">
      <c r="B325" s="125" t="s">
        <v>414</v>
      </c>
      <c r="C325" s="125">
        <f t="shared" si="20"/>
        <v>5453.1428571428569</v>
      </c>
      <c r="D325" s="125">
        <f t="shared" si="20"/>
        <v>5266.7142857142853</v>
      </c>
      <c r="E325" s="125">
        <f t="shared" si="21"/>
        <v>3134279.6800000002</v>
      </c>
      <c r="F325" s="125">
        <f t="shared" si="22"/>
        <v>5848352.5</v>
      </c>
      <c r="G325" s="125">
        <f t="shared" si="23"/>
        <v>40905000</v>
      </c>
      <c r="H325" s="125">
        <v>0</v>
      </c>
      <c r="I325" s="125">
        <v>40766</v>
      </c>
      <c r="J325" s="125">
        <v>139</v>
      </c>
      <c r="K325" s="125">
        <v>3674</v>
      </c>
      <c r="L325" s="125">
        <v>3699</v>
      </c>
      <c r="M325" s="125">
        <v>7452</v>
      </c>
      <c r="N325" s="125">
        <v>6148</v>
      </c>
      <c r="O325" s="125">
        <v>4202</v>
      </c>
      <c r="P325" s="125">
        <v>5752</v>
      </c>
      <c r="Q325" s="125">
        <v>8462</v>
      </c>
      <c r="R325" s="125">
        <v>7551</v>
      </c>
      <c r="S325" s="125">
        <v>4691</v>
      </c>
      <c r="T325" s="125">
        <v>4215</v>
      </c>
      <c r="U325" s="125">
        <v>5891</v>
      </c>
      <c r="V325" s="125">
        <v>5519</v>
      </c>
      <c r="W325" s="125">
        <v>3800</v>
      </c>
      <c r="X325" s="125">
        <v>3983</v>
      </c>
      <c r="Y325" s="125">
        <v>21900</v>
      </c>
      <c r="Z325" s="125">
        <v>21863</v>
      </c>
    </row>
    <row r="326" spans="2:35" x14ac:dyDescent="0.2">
      <c r="B326" s="125" t="s">
        <v>471</v>
      </c>
      <c r="C326" s="125">
        <f t="shared" si="20"/>
        <v>7612.7142857142853</v>
      </c>
      <c r="D326" s="125">
        <f t="shared" si="20"/>
        <v>12151.428571428571</v>
      </c>
      <c r="E326" s="125">
        <f t="shared" si="21"/>
        <v>6440017.9200000009</v>
      </c>
      <c r="F326" s="125">
        <f t="shared" si="22"/>
        <v>12016635</v>
      </c>
      <c r="G326" s="125">
        <f t="shared" si="23"/>
        <v>122450000</v>
      </c>
      <c r="H326" s="125">
        <v>32</v>
      </c>
      <c r="I326" s="125">
        <v>122243</v>
      </c>
      <c r="J326" s="125">
        <v>175</v>
      </c>
      <c r="K326" s="125">
        <v>15727</v>
      </c>
      <c r="L326" s="125">
        <v>19040</v>
      </c>
      <c r="M326" s="125">
        <v>9540</v>
      </c>
      <c r="N326" s="125">
        <v>26340</v>
      </c>
      <c r="O326" s="125">
        <v>12667</v>
      </c>
      <c r="P326" s="125">
        <v>21209</v>
      </c>
      <c r="Q326" s="125">
        <v>10357</v>
      </c>
      <c r="R326" s="125">
        <v>2734</v>
      </c>
      <c r="S326" s="125">
        <v>-8612</v>
      </c>
      <c r="T326" s="125">
        <v>17425</v>
      </c>
      <c r="U326" s="125">
        <v>0</v>
      </c>
      <c r="V326" s="125">
        <v>-4074</v>
      </c>
      <c r="W326" s="125">
        <v>13610</v>
      </c>
      <c r="X326" s="125">
        <v>2386</v>
      </c>
      <c r="Y326" s="125">
        <v>44720</v>
      </c>
      <c r="Z326" s="125">
        <v>44922</v>
      </c>
    </row>
    <row r="327" spans="2:35" x14ac:dyDescent="0.2">
      <c r="B327" s="125" t="s">
        <v>339</v>
      </c>
      <c r="C327" s="125">
        <f t="shared" si="20"/>
        <v>9096.1428571428569</v>
      </c>
      <c r="D327" s="125">
        <f t="shared" si="20"/>
        <v>9624.8571428571431</v>
      </c>
      <c r="E327" s="125">
        <f t="shared" si="21"/>
        <v>9721241.6000000015</v>
      </c>
      <c r="F327" s="125">
        <f t="shared" si="22"/>
        <v>18139175</v>
      </c>
      <c r="G327" s="125">
        <f t="shared" si="23"/>
        <v>173194000</v>
      </c>
      <c r="H327" s="125">
        <v>65</v>
      </c>
      <c r="I327" s="125">
        <v>171638</v>
      </c>
      <c r="J327" s="125">
        <v>1491</v>
      </c>
      <c r="K327" s="125">
        <v>10623</v>
      </c>
      <c r="L327" s="125">
        <v>9395</v>
      </c>
      <c r="M327" s="125">
        <v>9782</v>
      </c>
      <c r="N327" s="125">
        <v>11876</v>
      </c>
      <c r="O327" s="125">
        <v>8708</v>
      </c>
      <c r="P327" s="125">
        <v>10040</v>
      </c>
      <c r="Q327" s="125">
        <v>6582</v>
      </c>
      <c r="R327" s="125">
        <v>6342</v>
      </c>
      <c r="S327" s="125">
        <v>13389</v>
      </c>
      <c r="T327" s="125">
        <v>16004</v>
      </c>
      <c r="U327" s="125">
        <v>9118</v>
      </c>
      <c r="V327" s="125">
        <v>8198</v>
      </c>
      <c r="W327" s="125">
        <v>5471</v>
      </c>
      <c r="X327" s="125">
        <v>5519</v>
      </c>
      <c r="Y327" s="125">
        <v>67604</v>
      </c>
      <c r="Z327" s="125">
        <v>67810</v>
      </c>
    </row>
    <row r="328" spans="2:35" x14ac:dyDescent="0.2">
      <c r="B328" s="125" t="s">
        <v>507</v>
      </c>
      <c r="C328" s="125">
        <f t="shared" si="20"/>
        <v>49414.428571428572</v>
      </c>
      <c r="D328" s="125">
        <f t="shared" si="20"/>
        <v>54557.857142857145</v>
      </c>
      <c r="E328" s="125">
        <f t="shared" si="21"/>
        <v>14512046.080000002</v>
      </c>
      <c r="F328" s="125">
        <f t="shared" si="22"/>
        <v>27078490</v>
      </c>
      <c r="G328" s="125">
        <f t="shared" si="23"/>
        <v>337463000</v>
      </c>
      <c r="H328" s="125">
        <v>25743</v>
      </c>
      <c r="I328" s="125">
        <v>283299</v>
      </c>
      <c r="J328" s="125">
        <v>28421</v>
      </c>
      <c r="K328" s="125">
        <v>61444</v>
      </c>
      <c r="L328" s="125">
        <v>64222</v>
      </c>
      <c r="M328" s="125">
        <v>59224</v>
      </c>
      <c r="N328" s="125">
        <v>66384</v>
      </c>
      <c r="O328" s="125">
        <v>123420</v>
      </c>
      <c r="P328" s="125">
        <v>142287</v>
      </c>
      <c r="Q328" s="125">
        <v>16263</v>
      </c>
      <c r="R328" s="125">
        <v>17799</v>
      </c>
      <c r="S328" s="125">
        <v>17774</v>
      </c>
      <c r="T328" s="125">
        <v>20217</v>
      </c>
      <c r="U328" s="125">
        <v>45801</v>
      </c>
      <c r="V328" s="125">
        <v>47149</v>
      </c>
      <c r="W328" s="125">
        <v>21975</v>
      </c>
      <c r="X328" s="125">
        <v>23847</v>
      </c>
      <c r="Y328" s="125">
        <v>101023</v>
      </c>
      <c r="Z328" s="125">
        <v>101228</v>
      </c>
    </row>
    <row r="329" spans="2:35" x14ac:dyDescent="0.2">
      <c r="B329" s="125" t="s">
        <v>508</v>
      </c>
      <c r="C329" s="125">
        <f t="shared" si="20"/>
        <v>16770.142857142859</v>
      </c>
      <c r="D329" s="125">
        <f t="shared" si="20"/>
        <v>18360.714285714286</v>
      </c>
      <c r="E329" s="125">
        <f t="shared" si="21"/>
        <v>6214082.5600000005</v>
      </c>
      <c r="F329" s="125">
        <f t="shared" si="22"/>
        <v>11595055</v>
      </c>
      <c r="G329" s="125">
        <f t="shared" si="23"/>
        <v>103452000</v>
      </c>
      <c r="H329" s="125">
        <v>1716</v>
      </c>
      <c r="I329" s="125">
        <v>101242</v>
      </c>
      <c r="J329" s="125">
        <v>494</v>
      </c>
      <c r="K329" s="125">
        <v>18639</v>
      </c>
      <c r="L329" s="125">
        <v>21931</v>
      </c>
      <c r="M329" s="125">
        <v>21446</v>
      </c>
      <c r="N329" s="125">
        <v>25453</v>
      </c>
      <c r="O329" s="125">
        <v>20896</v>
      </c>
      <c r="P329" s="125">
        <v>19965</v>
      </c>
      <c r="Q329" s="125">
        <v>25184</v>
      </c>
      <c r="R329" s="125">
        <v>25202</v>
      </c>
      <c r="S329" s="125">
        <v>12016</v>
      </c>
      <c r="T329" s="125">
        <v>13422</v>
      </c>
      <c r="U329" s="125">
        <v>19099</v>
      </c>
      <c r="V329" s="125">
        <v>22625</v>
      </c>
      <c r="W329" s="125">
        <v>111</v>
      </c>
      <c r="X329" s="125">
        <v>-73</v>
      </c>
      <c r="Y329" s="125">
        <v>43566</v>
      </c>
      <c r="Z329" s="125">
        <v>43346</v>
      </c>
      <c r="AH329" s="259"/>
      <c r="AI329" s="259"/>
    </row>
    <row r="330" spans="2:35" x14ac:dyDescent="0.2">
      <c r="B330" s="125" t="s">
        <v>296</v>
      </c>
      <c r="C330" s="125">
        <f t="shared" si="20"/>
        <v>7017.7142857142853</v>
      </c>
      <c r="D330" s="125">
        <f t="shared" si="20"/>
        <v>6953.5714285714284</v>
      </c>
      <c r="E330" s="125">
        <f t="shared" si="21"/>
        <v>2861322.2400000002</v>
      </c>
      <c r="F330" s="125">
        <f t="shared" si="22"/>
        <v>5339032.5</v>
      </c>
      <c r="G330" s="125">
        <f t="shared" si="23"/>
        <v>67284000</v>
      </c>
      <c r="H330" s="125">
        <v>118</v>
      </c>
      <c r="I330" s="125">
        <v>61460</v>
      </c>
      <c r="J330" s="125">
        <v>5706</v>
      </c>
      <c r="K330" s="125">
        <v>7368</v>
      </c>
      <c r="L330" s="125">
        <v>8073</v>
      </c>
      <c r="M330" s="125">
        <v>22614</v>
      </c>
      <c r="N330" s="125">
        <v>20358</v>
      </c>
      <c r="O330" s="125">
        <v>683</v>
      </c>
      <c r="P330" s="125">
        <v>1668</v>
      </c>
      <c r="Q330" s="125">
        <v>5733</v>
      </c>
      <c r="R330" s="125">
        <v>4943</v>
      </c>
      <c r="S330" s="125">
        <v>4930</v>
      </c>
      <c r="T330" s="125">
        <v>6469</v>
      </c>
      <c r="U330" s="125">
        <v>2890</v>
      </c>
      <c r="V330" s="125">
        <v>2210</v>
      </c>
      <c r="W330" s="125">
        <v>4906</v>
      </c>
      <c r="X330" s="125">
        <v>4954</v>
      </c>
      <c r="Y330" s="125">
        <v>19711</v>
      </c>
      <c r="Z330" s="125">
        <v>19959</v>
      </c>
    </row>
    <row r="331" spans="2:35" x14ac:dyDescent="0.2">
      <c r="B331" s="125" t="s">
        <v>392</v>
      </c>
      <c r="C331" s="125">
        <f t="shared" si="20"/>
        <v>34410.571428571428</v>
      </c>
      <c r="D331" s="125">
        <f t="shared" si="20"/>
        <v>39301.857142857145</v>
      </c>
      <c r="E331" s="125">
        <f t="shared" si="21"/>
        <v>10329231.360000001</v>
      </c>
      <c r="F331" s="125">
        <f t="shared" si="22"/>
        <v>19273642.5</v>
      </c>
      <c r="G331" s="125">
        <f t="shared" si="23"/>
        <v>321560000</v>
      </c>
      <c r="H331" s="125">
        <v>0</v>
      </c>
      <c r="I331" s="125">
        <v>319469</v>
      </c>
      <c r="J331" s="125">
        <v>2091</v>
      </c>
      <c r="K331" s="125">
        <v>55805</v>
      </c>
      <c r="L331" s="125">
        <v>53381</v>
      </c>
      <c r="M331" s="125">
        <v>48940</v>
      </c>
      <c r="N331" s="125">
        <v>58010</v>
      </c>
      <c r="O331" s="125">
        <v>31948</v>
      </c>
      <c r="P331" s="125">
        <v>51939</v>
      </c>
      <c r="Q331" s="125">
        <v>22894</v>
      </c>
      <c r="R331" s="125">
        <v>34719</v>
      </c>
      <c r="S331" s="125">
        <v>34912</v>
      </c>
      <c r="T331" s="125">
        <v>36943</v>
      </c>
      <c r="U331" s="125">
        <v>30091</v>
      </c>
      <c r="V331" s="125">
        <v>29582</v>
      </c>
      <c r="W331" s="125">
        <v>16284</v>
      </c>
      <c r="X331" s="125">
        <v>10539</v>
      </c>
      <c r="Y331" s="125">
        <v>72062</v>
      </c>
      <c r="Z331" s="125">
        <v>72051</v>
      </c>
    </row>
    <row r="332" spans="2:35" x14ac:dyDescent="0.2">
      <c r="B332" s="125" t="s">
        <v>197</v>
      </c>
      <c r="C332" s="125">
        <f t="shared" si="20"/>
        <v>34.428571428571431</v>
      </c>
      <c r="D332" s="125">
        <f t="shared" si="20"/>
        <v>488.14285714285717</v>
      </c>
      <c r="E332" s="125">
        <f t="shared" si="21"/>
        <v>162426.88</v>
      </c>
      <c r="F332" s="125">
        <f t="shared" si="22"/>
        <v>303077.5</v>
      </c>
      <c r="G332" s="125">
        <f t="shared" si="23"/>
        <v>8882000</v>
      </c>
      <c r="H332" s="125">
        <v>0</v>
      </c>
      <c r="I332" s="125">
        <v>7825</v>
      </c>
      <c r="J332" s="125">
        <v>1057</v>
      </c>
      <c r="K332" s="125">
        <v>0</v>
      </c>
      <c r="L332" s="125">
        <v>0</v>
      </c>
      <c r="M332" s="125">
        <v>241</v>
      </c>
      <c r="N332" s="125">
        <v>241</v>
      </c>
      <c r="O332" s="125">
        <v>0</v>
      </c>
      <c r="P332" s="125">
        <v>0</v>
      </c>
      <c r="Q332" s="125">
        <v>0</v>
      </c>
      <c r="R332" s="125">
        <v>0</v>
      </c>
      <c r="S332" s="125">
        <v>0</v>
      </c>
      <c r="T332" s="125">
        <v>0</v>
      </c>
      <c r="U332" s="125">
        <v>0</v>
      </c>
      <c r="V332" s="125">
        <v>0</v>
      </c>
      <c r="W332" s="125">
        <v>0</v>
      </c>
      <c r="X332" s="125">
        <v>3176</v>
      </c>
      <c r="Y332" s="125">
        <v>1088</v>
      </c>
      <c r="Z332" s="125">
        <v>1133</v>
      </c>
    </row>
    <row r="333" spans="2:35" x14ac:dyDescent="0.2">
      <c r="B333" s="125" t="s">
        <v>415</v>
      </c>
      <c r="C333" s="125">
        <f t="shared" si="20"/>
        <v>14987.070714285714</v>
      </c>
      <c r="D333" s="125">
        <f t="shared" si="20"/>
        <v>41532.133428571433</v>
      </c>
      <c r="E333" s="125">
        <f t="shared" si="21"/>
        <v>6377943.040000001</v>
      </c>
      <c r="F333" s="125">
        <f t="shared" si="22"/>
        <v>11900807.5</v>
      </c>
      <c r="G333" s="125">
        <f t="shared" si="23"/>
        <v>141433000</v>
      </c>
      <c r="H333" s="125">
        <v>7855</v>
      </c>
      <c r="I333" s="125">
        <v>131006</v>
      </c>
      <c r="J333" s="125">
        <v>2572</v>
      </c>
      <c r="K333" s="125">
        <v>17919</v>
      </c>
      <c r="L333" s="125">
        <v>19362</v>
      </c>
      <c r="M333" s="125">
        <v>17791</v>
      </c>
      <c r="N333" s="125">
        <v>26570</v>
      </c>
      <c r="O333" s="125">
        <v>15845</v>
      </c>
      <c r="P333" s="125">
        <v>17167</v>
      </c>
      <c r="Q333" s="125">
        <v>10545</v>
      </c>
      <c r="R333" s="125">
        <v>12967</v>
      </c>
      <c r="S333" s="125">
        <v>12151</v>
      </c>
      <c r="T333" s="125">
        <v>27937</v>
      </c>
      <c r="U333" s="125">
        <v>21174.494999999999</v>
      </c>
      <c r="V333" s="125">
        <v>104168.93399999999</v>
      </c>
      <c r="W333" s="125">
        <v>9484</v>
      </c>
      <c r="X333" s="125">
        <v>82553</v>
      </c>
      <c r="Y333" s="125">
        <v>44399</v>
      </c>
      <c r="Z333" s="125">
        <v>44489</v>
      </c>
    </row>
    <row r="334" spans="2:35" x14ac:dyDescent="0.2">
      <c r="B334" s="125" t="s">
        <v>509</v>
      </c>
      <c r="C334" s="125">
        <f t="shared" si="20"/>
        <v>1185.1428571428571</v>
      </c>
      <c r="D334" s="125">
        <f t="shared" si="20"/>
        <v>1043.7142857142858</v>
      </c>
      <c r="E334" s="125">
        <f t="shared" si="21"/>
        <v>1776373.7600000002</v>
      </c>
      <c r="F334" s="125">
        <f t="shared" si="22"/>
        <v>3314592.5</v>
      </c>
      <c r="G334" s="125">
        <f t="shared" si="23"/>
        <v>28691000</v>
      </c>
      <c r="H334" s="125">
        <v>0</v>
      </c>
      <c r="I334" s="125">
        <v>28364</v>
      </c>
      <c r="J334" s="125">
        <v>327</v>
      </c>
      <c r="K334" s="125">
        <v>1490</v>
      </c>
      <c r="L334" s="125">
        <v>1820</v>
      </c>
      <c r="M334" s="125">
        <v>697</v>
      </c>
      <c r="N334" s="125">
        <v>489</v>
      </c>
      <c r="O334" s="125">
        <v>1273</v>
      </c>
      <c r="P334" s="125">
        <v>815</v>
      </c>
      <c r="Q334" s="125">
        <v>1740</v>
      </c>
      <c r="R334" s="125">
        <v>795</v>
      </c>
      <c r="S334" s="125">
        <v>2066</v>
      </c>
      <c r="T334" s="125">
        <v>2304</v>
      </c>
      <c r="U334" s="125">
        <v>864</v>
      </c>
      <c r="V334" s="125">
        <v>864</v>
      </c>
      <c r="W334" s="125">
        <v>166</v>
      </c>
      <c r="X334" s="125">
        <v>219</v>
      </c>
      <c r="Y334" s="125">
        <v>12464</v>
      </c>
      <c r="Z334" s="125">
        <v>12391</v>
      </c>
    </row>
    <row r="335" spans="2:35" x14ac:dyDescent="0.2">
      <c r="B335" s="125" t="s">
        <v>393</v>
      </c>
      <c r="C335" s="125">
        <f t="shared" si="20"/>
        <v>7232.4285714285716</v>
      </c>
      <c r="D335" s="125">
        <f t="shared" si="20"/>
        <v>7591.7142857142853</v>
      </c>
      <c r="E335" s="125">
        <f t="shared" si="21"/>
        <v>3649228.8000000003</v>
      </c>
      <c r="F335" s="125">
        <f t="shared" si="22"/>
        <v>6809212.5</v>
      </c>
      <c r="G335" s="125">
        <f t="shared" si="23"/>
        <v>47593000</v>
      </c>
      <c r="H335" s="125">
        <v>0</v>
      </c>
      <c r="I335" s="125">
        <v>47303</v>
      </c>
      <c r="J335" s="125">
        <v>290</v>
      </c>
      <c r="K335" s="125">
        <v>6883</v>
      </c>
      <c r="L335" s="125">
        <v>4778</v>
      </c>
      <c r="M335" s="125">
        <v>12093</v>
      </c>
      <c r="N335" s="125">
        <v>17086</v>
      </c>
      <c r="O335" s="125">
        <v>8763</v>
      </c>
      <c r="P335" s="125">
        <v>11495</v>
      </c>
      <c r="Q335" s="125">
        <v>8641</v>
      </c>
      <c r="R335" s="125">
        <v>5312</v>
      </c>
      <c r="S335" s="125">
        <v>2688</v>
      </c>
      <c r="T335" s="125">
        <v>3303</v>
      </c>
      <c r="U335" s="125">
        <v>10409</v>
      </c>
      <c r="V335" s="125">
        <v>9935</v>
      </c>
      <c r="W335" s="125">
        <v>1150</v>
      </c>
      <c r="X335" s="125">
        <v>1233</v>
      </c>
      <c r="Y335" s="125">
        <v>25319</v>
      </c>
      <c r="Z335" s="125">
        <v>25455</v>
      </c>
    </row>
    <row r="336" spans="2:35" x14ac:dyDescent="0.2">
      <c r="B336" s="125" t="s">
        <v>267</v>
      </c>
      <c r="C336" s="125">
        <f t="shared" si="20"/>
        <v>9825.7142857142862</v>
      </c>
      <c r="D336" s="125">
        <f t="shared" si="20"/>
        <v>10271.142857142857</v>
      </c>
      <c r="E336" s="125">
        <f t="shared" si="21"/>
        <v>3484794.8800000004</v>
      </c>
      <c r="F336" s="125">
        <f t="shared" si="22"/>
        <v>6502390</v>
      </c>
      <c r="G336" s="125">
        <f t="shared" si="23"/>
        <v>50799000</v>
      </c>
      <c r="H336" s="125">
        <v>130</v>
      </c>
      <c r="I336" s="125">
        <v>47018</v>
      </c>
      <c r="J336" s="125">
        <v>3651</v>
      </c>
      <c r="K336" s="125">
        <v>12928</v>
      </c>
      <c r="L336" s="125">
        <v>12392</v>
      </c>
      <c r="M336" s="125">
        <v>12646</v>
      </c>
      <c r="N336" s="125">
        <v>14693</v>
      </c>
      <c r="O336" s="125">
        <v>14307</v>
      </c>
      <c r="P336" s="125">
        <v>13882</v>
      </c>
      <c r="Q336" s="125">
        <v>6016</v>
      </c>
      <c r="R336" s="125">
        <v>7338</v>
      </c>
      <c r="S336" s="125">
        <v>8404</v>
      </c>
      <c r="T336" s="125">
        <v>8818</v>
      </c>
      <c r="U336" s="125">
        <v>8027</v>
      </c>
      <c r="V336" s="125">
        <v>8147</v>
      </c>
      <c r="W336" s="125">
        <v>6452</v>
      </c>
      <c r="X336" s="125">
        <v>6628</v>
      </c>
      <c r="Y336" s="125">
        <v>24200</v>
      </c>
      <c r="Z336" s="125">
        <v>24308</v>
      </c>
    </row>
    <row r="337" spans="2:26" x14ac:dyDescent="0.2">
      <c r="B337" s="125" t="s">
        <v>472</v>
      </c>
      <c r="C337" s="125">
        <f t="shared" si="20"/>
        <v>9639</v>
      </c>
      <c r="D337" s="125">
        <f t="shared" si="20"/>
        <v>9130</v>
      </c>
      <c r="E337" s="125">
        <f t="shared" si="21"/>
        <v>3789721.6000000006</v>
      </c>
      <c r="F337" s="125">
        <f t="shared" si="22"/>
        <v>7071362.5</v>
      </c>
      <c r="G337" s="125">
        <f t="shared" si="23"/>
        <v>78038000</v>
      </c>
      <c r="H337" s="125">
        <v>0</v>
      </c>
      <c r="I337" s="125">
        <v>78022</v>
      </c>
      <c r="J337" s="125">
        <v>16</v>
      </c>
      <c r="K337" s="125">
        <v>15244</v>
      </c>
      <c r="L337" s="125">
        <v>15475</v>
      </c>
      <c r="M337" s="125">
        <v>16501</v>
      </c>
      <c r="N337" s="125">
        <v>13868</v>
      </c>
      <c r="O337" s="125">
        <v>9371</v>
      </c>
      <c r="P337" s="125">
        <v>9872</v>
      </c>
      <c r="Q337" s="125">
        <v>5249</v>
      </c>
      <c r="R337" s="125">
        <v>5830</v>
      </c>
      <c r="S337" s="125">
        <v>10631</v>
      </c>
      <c r="T337" s="125">
        <v>8737</v>
      </c>
      <c r="U337" s="125">
        <v>5607</v>
      </c>
      <c r="V337" s="125">
        <v>5734</v>
      </c>
      <c r="W337" s="125">
        <v>4870</v>
      </c>
      <c r="X337" s="125">
        <v>4394</v>
      </c>
      <c r="Y337" s="125">
        <v>26191</v>
      </c>
      <c r="Z337" s="125">
        <v>26435</v>
      </c>
    </row>
    <row r="338" spans="2:26" x14ac:dyDescent="0.2">
      <c r="B338" s="125" t="s">
        <v>820</v>
      </c>
      <c r="C338" s="125">
        <v>5099.4869986604681</v>
      </c>
      <c r="D338" s="125">
        <v>5752.1767000236387</v>
      </c>
      <c r="E338" s="125">
        <v>6606149.1101158308</v>
      </c>
      <c r="F338" s="125">
        <v>12326624.490485383</v>
      </c>
      <c r="G338" s="125">
        <f t="shared" si="23"/>
        <v>80595425.537782684</v>
      </c>
      <c r="H338" s="125">
        <v>30</v>
      </c>
      <c r="I338" s="125">
        <v>79148.345284059571</v>
      </c>
      <c r="J338" s="125">
        <v>1417.0802537231109</v>
      </c>
      <c r="K338" s="125">
        <v>5641.3943739658025</v>
      </c>
      <c r="L338" s="125">
        <v>6219.8422504136788</v>
      </c>
      <c r="M338" s="125">
        <v>2648.0838389409819</v>
      </c>
      <c r="N338" s="125">
        <v>3331.4274682846112</v>
      </c>
      <c r="O338" s="125">
        <v>4755.4586321014895</v>
      </c>
      <c r="P338" s="125">
        <v>5156.7291781577496</v>
      </c>
      <c r="Q338" s="125">
        <v>4792.586596800882</v>
      </c>
      <c r="R338" s="125">
        <v>8828.7236624379475</v>
      </c>
      <c r="S338" s="125">
        <v>1774.4037506894649</v>
      </c>
      <c r="T338" s="125">
        <v>2784.107556536128</v>
      </c>
      <c r="U338" s="125">
        <v>4654.3011583011585</v>
      </c>
      <c r="V338" s="125">
        <v>4422.940981798125</v>
      </c>
      <c r="W338" s="125">
        <v>11430.180639823497</v>
      </c>
      <c r="X338" s="125">
        <v>9521.4658025372319</v>
      </c>
      <c r="Y338" s="125">
        <v>46057.528405956975</v>
      </c>
      <c r="Z338" s="125">
        <v>46080.839216767788</v>
      </c>
    </row>
    <row r="339" spans="2:26" x14ac:dyDescent="0.2">
      <c r="B339" s="125" t="s">
        <v>473</v>
      </c>
      <c r="C339" s="125">
        <f t="shared" si="20"/>
        <v>3032.1428571428573</v>
      </c>
      <c r="D339" s="125">
        <f t="shared" si="20"/>
        <v>3113.7142857142858</v>
      </c>
      <c r="E339" s="125">
        <f t="shared" si="21"/>
        <v>2448158.7200000002</v>
      </c>
      <c r="F339" s="125">
        <f t="shared" si="22"/>
        <v>4568097.5</v>
      </c>
      <c r="G339" s="125">
        <f t="shared" si="23"/>
        <v>18114000</v>
      </c>
      <c r="H339" s="125">
        <v>0</v>
      </c>
      <c r="I339" s="125">
        <v>18041</v>
      </c>
      <c r="J339" s="125">
        <v>73</v>
      </c>
      <c r="K339" s="125">
        <v>2321</v>
      </c>
      <c r="L339" s="125">
        <v>2267</v>
      </c>
      <c r="M339" s="125">
        <v>7058</v>
      </c>
      <c r="N339" s="125">
        <v>6955</v>
      </c>
      <c r="O339" s="125">
        <v>3176</v>
      </c>
      <c r="P339" s="125">
        <v>3265</v>
      </c>
      <c r="Q339" s="125">
        <v>1545</v>
      </c>
      <c r="R339" s="125">
        <v>1584</v>
      </c>
      <c r="S339" s="125">
        <v>3057</v>
      </c>
      <c r="T339" s="125">
        <v>3674</v>
      </c>
      <c r="U339" s="125">
        <v>2583</v>
      </c>
      <c r="V339" s="125">
        <v>2596</v>
      </c>
      <c r="W339" s="125">
        <v>1485</v>
      </c>
      <c r="X339" s="125">
        <v>1455</v>
      </c>
      <c r="Y339" s="125">
        <v>16898</v>
      </c>
      <c r="Z339" s="125">
        <v>17077</v>
      </c>
    </row>
    <row r="340" spans="2:26" x14ac:dyDescent="0.2">
      <c r="B340" s="125" t="s">
        <v>474</v>
      </c>
      <c r="C340" s="125">
        <f t="shared" si="20"/>
        <v>21764.142857142859</v>
      </c>
      <c r="D340" s="125">
        <f t="shared" si="20"/>
        <v>20890.571428571428</v>
      </c>
      <c r="E340" s="125">
        <f t="shared" si="21"/>
        <v>6841999.3600000003</v>
      </c>
      <c r="F340" s="125">
        <f t="shared" si="22"/>
        <v>12766705</v>
      </c>
      <c r="G340" s="125">
        <f t="shared" si="23"/>
        <v>190774000</v>
      </c>
      <c r="H340" s="125">
        <v>875</v>
      </c>
      <c r="I340" s="125">
        <v>185023</v>
      </c>
      <c r="J340" s="125">
        <v>4876</v>
      </c>
      <c r="K340" s="125">
        <v>23729</v>
      </c>
      <c r="L340" s="125">
        <v>28542</v>
      </c>
      <c r="M340" s="125">
        <v>40331</v>
      </c>
      <c r="N340" s="125">
        <v>34665</v>
      </c>
      <c r="O340" s="125">
        <v>31084</v>
      </c>
      <c r="P340" s="125">
        <v>25344</v>
      </c>
      <c r="Q340" s="125">
        <v>13714</v>
      </c>
      <c r="R340" s="125">
        <v>17679</v>
      </c>
      <c r="S340" s="125">
        <v>8162</v>
      </c>
      <c r="T340" s="125">
        <v>8292</v>
      </c>
      <c r="U340" s="125">
        <v>20263</v>
      </c>
      <c r="V340" s="125">
        <v>17821</v>
      </c>
      <c r="W340" s="125">
        <v>15066</v>
      </c>
      <c r="X340" s="125">
        <v>13891</v>
      </c>
      <c r="Y340" s="125">
        <v>47417</v>
      </c>
      <c r="Z340" s="125">
        <v>47726</v>
      </c>
    </row>
    <row r="341" spans="2:26" x14ac:dyDescent="0.2">
      <c r="B341" s="125" t="s">
        <v>394</v>
      </c>
      <c r="C341" s="125">
        <f t="shared" si="20"/>
        <v>25695</v>
      </c>
      <c r="D341" s="125">
        <f t="shared" si="20"/>
        <v>26626.142857142859</v>
      </c>
      <c r="E341" s="125">
        <f t="shared" si="21"/>
        <v>3950571.5200000005</v>
      </c>
      <c r="F341" s="125">
        <f t="shared" si="22"/>
        <v>7371497.5</v>
      </c>
      <c r="G341" s="125">
        <f t="shared" si="23"/>
        <v>59477000</v>
      </c>
      <c r="H341" s="125">
        <v>243</v>
      </c>
      <c r="I341" s="125">
        <v>54066</v>
      </c>
      <c r="J341" s="125">
        <v>5168</v>
      </c>
      <c r="K341" s="125">
        <v>13891</v>
      </c>
      <c r="L341" s="125">
        <v>14236</v>
      </c>
      <c r="M341" s="125">
        <v>12335</v>
      </c>
      <c r="N341" s="125">
        <v>12282</v>
      </c>
      <c r="O341" s="125">
        <v>72771</v>
      </c>
      <c r="P341" s="125">
        <v>76617</v>
      </c>
      <c r="Q341" s="125">
        <v>29135</v>
      </c>
      <c r="R341" s="125">
        <v>31518</v>
      </c>
      <c r="S341" s="125">
        <v>16866</v>
      </c>
      <c r="T341" s="125">
        <v>18020</v>
      </c>
      <c r="U341" s="125">
        <v>15387</v>
      </c>
      <c r="V341" s="125">
        <v>16008</v>
      </c>
      <c r="W341" s="125">
        <v>19480</v>
      </c>
      <c r="X341" s="125">
        <v>17702</v>
      </c>
      <c r="Y341" s="125">
        <v>26536</v>
      </c>
      <c r="Z341" s="125">
        <v>27557</v>
      </c>
    </row>
    <row r="342" spans="2:26" x14ac:dyDescent="0.2">
      <c r="B342" s="125" t="s">
        <v>268</v>
      </c>
      <c r="C342" s="125">
        <f t="shared" si="20"/>
        <v>4750.2857142857147</v>
      </c>
      <c r="D342" s="125">
        <f t="shared" si="20"/>
        <v>4592.4285714285716</v>
      </c>
      <c r="E342" s="125">
        <f t="shared" si="21"/>
        <v>5502156.8000000007</v>
      </c>
      <c r="F342" s="125">
        <f t="shared" si="22"/>
        <v>10266650</v>
      </c>
      <c r="G342" s="125">
        <f t="shared" si="23"/>
        <v>84618000</v>
      </c>
      <c r="H342" s="125">
        <v>17529</v>
      </c>
      <c r="I342" s="125">
        <v>66035</v>
      </c>
      <c r="J342" s="125">
        <v>1054</v>
      </c>
      <c r="K342" s="125">
        <v>4266</v>
      </c>
      <c r="L342" s="125">
        <v>4758</v>
      </c>
      <c r="M342" s="125">
        <v>7483</v>
      </c>
      <c r="N342" s="125">
        <v>6023</v>
      </c>
      <c r="O342" s="125">
        <v>5603</v>
      </c>
      <c r="P342" s="125">
        <v>6025</v>
      </c>
      <c r="Q342" s="125">
        <v>5069</v>
      </c>
      <c r="R342" s="125">
        <v>3579</v>
      </c>
      <c r="S342" s="125">
        <v>2648</v>
      </c>
      <c r="T342" s="125">
        <v>3926</v>
      </c>
      <c r="U342" s="125">
        <v>6981</v>
      </c>
      <c r="V342" s="125">
        <v>6175</v>
      </c>
      <c r="W342" s="125">
        <v>1202</v>
      </c>
      <c r="X342" s="125">
        <v>1661</v>
      </c>
      <c r="Y342" s="125">
        <v>38497</v>
      </c>
      <c r="Z342" s="125">
        <v>38380</v>
      </c>
    </row>
    <row r="343" spans="2:26" x14ac:dyDescent="0.2">
      <c r="B343" s="125" t="s">
        <v>395</v>
      </c>
      <c r="C343" s="125">
        <f t="shared" si="20"/>
        <v>422</v>
      </c>
      <c r="D343" s="125">
        <f t="shared" si="20"/>
        <v>658.85714285714289</v>
      </c>
      <c r="E343" s="125">
        <f t="shared" si="21"/>
        <v>3741982.7200000002</v>
      </c>
      <c r="F343" s="125">
        <f t="shared" si="22"/>
        <v>6982285</v>
      </c>
      <c r="G343" s="125">
        <f t="shared" si="23"/>
        <v>40970000</v>
      </c>
      <c r="H343" s="125">
        <v>0</v>
      </c>
      <c r="I343" s="125">
        <v>40515</v>
      </c>
      <c r="J343" s="125">
        <v>455</v>
      </c>
      <c r="K343" s="125">
        <v>462</v>
      </c>
      <c r="L343" s="125">
        <v>756</v>
      </c>
      <c r="M343" s="125">
        <v>9</v>
      </c>
      <c r="N343" s="125">
        <v>1210</v>
      </c>
      <c r="O343" s="125">
        <v>2447</v>
      </c>
      <c r="P343" s="125">
        <v>223</v>
      </c>
      <c r="Q343" s="125">
        <v>23</v>
      </c>
      <c r="R343" s="125">
        <v>685</v>
      </c>
      <c r="S343" s="125">
        <v>0</v>
      </c>
      <c r="T343" s="125">
        <v>857</v>
      </c>
      <c r="U343" s="125">
        <v>13</v>
      </c>
      <c r="V343" s="125">
        <v>441</v>
      </c>
      <c r="W343" s="125">
        <v>0</v>
      </c>
      <c r="X343" s="125">
        <v>440</v>
      </c>
      <c r="Y343" s="125">
        <v>26051</v>
      </c>
      <c r="Z343" s="125">
        <v>26102</v>
      </c>
    </row>
    <row r="344" spans="2:26" x14ac:dyDescent="0.2">
      <c r="B344" s="125" t="s">
        <v>340</v>
      </c>
      <c r="C344" s="125">
        <f t="shared" si="20"/>
        <v>629.14285714285711</v>
      </c>
      <c r="D344" s="125">
        <f t="shared" si="20"/>
        <v>522.14285714285711</v>
      </c>
      <c r="E344" s="125">
        <f t="shared" si="21"/>
        <v>2474393.6000000001</v>
      </c>
      <c r="F344" s="125">
        <f t="shared" si="22"/>
        <v>4617050</v>
      </c>
      <c r="G344" s="125">
        <f t="shared" si="23"/>
        <v>26572000</v>
      </c>
      <c r="H344" s="125">
        <v>467</v>
      </c>
      <c r="I344" s="125">
        <v>25655</v>
      </c>
      <c r="J344" s="125">
        <v>450</v>
      </c>
      <c r="K344" s="125">
        <v>955</v>
      </c>
      <c r="L344" s="125">
        <v>994</v>
      </c>
      <c r="M344" s="125">
        <v>3270</v>
      </c>
      <c r="N344" s="125">
        <v>2438</v>
      </c>
      <c r="O344" s="125">
        <v>106</v>
      </c>
      <c r="P344" s="125">
        <v>162</v>
      </c>
      <c r="Q344" s="125">
        <v>73</v>
      </c>
      <c r="R344" s="125">
        <v>46</v>
      </c>
      <c r="S344" s="125">
        <v>0</v>
      </c>
      <c r="T344" s="125">
        <v>9</v>
      </c>
      <c r="U344" s="125">
        <v>0</v>
      </c>
      <c r="V344" s="125">
        <v>3</v>
      </c>
      <c r="W344" s="125">
        <v>0</v>
      </c>
      <c r="X344" s="125">
        <v>3</v>
      </c>
      <c r="Y344" s="125">
        <v>17291</v>
      </c>
      <c r="Z344" s="125">
        <v>17260</v>
      </c>
    </row>
    <row r="345" spans="2:26" x14ac:dyDescent="0.2">
      <c r="B345" s="125" t="s">
        <v>510</v>
      </c>
      <c r="C345" s="125">
        <f t="shared" si="20"/>
        <v>42843.285714285717</v>
      </c>
      <c r="D345" s="125">
        <f t="shared" si="20"/>
        <v>44292</v>
      </c>
      <c r="E345" s="125">
        <f t="shared" si="21"/>
        <v>7149936.6400000006</v>
      </c>
      <c r="F345" s="125">
        <f t="shared" si="22"/>
        <v>13341295</v>
      </c>
      <c r="G345" s="125">
        <f t="shared" si="23"/>
        <v>189398000</v>
      </c>
      <c r="H345" s="125">
        <v>1036</v>
      </c>
      <c r="I345" s="125">
        <v>188362</v>
      </c>
      <c r="J345" s="125">
        <v>0</v>
      </c>
      <c r="K345" s="125">
        <v>91607</v>
      </c>
      <c r="L345" s="125">
        <v>91409</v>
      </c>
      <c r="M345" s="125">
        <v>67458</v>
      </c>
      <c r="N345" s="125">
        <v>71459</v>
      </c>
      <c r="O345" s="125">
        <v>58588</v>
      </c>
      <c r="P345" s="125">
        <v>65707</v>
      </c>
      <c r="Q345" s="125">
        <v>62436</v>
      </c>
      <c r="R345" s="125">
        <v>62506</v>
      </c>
      <c r="S345" s="125">
        <v>6564</v>
      </c>
      <c r="T345" s="125">
        <v>5855</v>
      </c>
      <c r="U345" s="125">
        <v>5746</v>
      </c>
      <c r="V345" s="125">
        <v>5572</v>
      </c>
      <c r="W345" s="125">
        <v>7504</v>
      </c>
      <c r="X345" s="125">
        <v>7536</v>
      </c>
      <c r="Y345" s="125">
        <v>49576</v>
      </c>
      <c r="Z345" s="125">
        <v>49874</v>
      </c>
    </row>
    <row r="346" spans="2:26" x14ac:dyDescent="0.2">
      <c r="B346" s="125" t="s">
        <v>341</v>
      </c>
      <c r="C346" s="125">
        <f t="shared" si="20"/>
        <v>818</v>
      </c>
      <c r="D346" s="125">
        <f t="shared" si="20"/>
        <v>1676.0862857142856</v>
      </c>
      <c r="E346" s="125">
        <f t="shared" si="21"/>
        <v>2747064.3200000003</v>
      </c>
      <c r="F346" s="125">
        <f t="shared" si="22"/>
        <v>5125835</v>
      </c>
      <c r="G346" s="125">
        <f t="shared" si="23"/>
        <v>47965000</v>
      </c>
      <c r="H346" s="125">
        <v>21</v>
      </c>
      <c r="I346" s="125">
        <v>47864</v>
      </c>
      <c r="J346" s="125">
        <v>80</v>
      </c>
      <c r="K346" s="125">
        <v>2569</v>
      </c>
      <c r="L346" s="125">
        <v>3099</v>
      </c>
      <c r="M346" s="125">
        <v>630</v>
      </c>
      <c r="N346" s="125">
        <v>902</v>
      </c>
      <c r="O346" s="125">
        <v>451</v>
      </c>
      <c r="P346" s="125">
        <v>1337</v>
      </c>
      <c r="Q346" s="125">
        <v>1075</v>
      </c>
      <c r="R346" s="125">
        <v>1922</v>
      </c>
      <c r="S346" s="125">
        <v>490</v>
      </c>
      <c r="T346" s="125">
        <v>501</v>
      </c>
      <c r="U346" s="125">
        <v>235</v>
      </c>
      <c r="V346" s="125">
        <v>3220.6039999999998</v>
      </c>
      <c r="W346" s="125">
        <v>276</v>
      </c>
      <c r="X346" s="125">
        <v>751</v>
      </c>
      <c r="Y346" s="125">
        <v>18729</v>
      </c>
      <c r="Z346" s="125">
        <v>19162</v>
      </c>
    </row>
    <row r="347" spans="2:26" x14ac:dyDescent="0.2">
      <c r="B347" s="125" t="s">
        <v>475</v>
      </c>
      <c r="C347" s="125">
        <f t="shared" si="20"/>
        <v>17611.428571428572</v>
      </c>
      <c r="D347" s="125">
        <f t="shared" si="20"/>
        <v>17696.428571428572</v>
      </c>
      <c r="E347" s="125">
        <f t="shared" si="21"/>
        <v>3867566.0800000005</v>
      </c>
      <c r="F347" s="125">
        <f t="shared" si="22"/>
        <v>7216615</v>
      </c>
      <c r="G347" s="125">
        <f t="shared" si="23"/>
        <v>49925000</v>
      </c>
      <c r="H347" s="125">
        <v>537</v>
      </c>
      <c r="I347" s="125">
        <v>47334</v>
      </c>
      <c r="J347" s="125">
        <v>2054</v>
      </c>
      <c r="K347" s="125">
        <v>37977</v>
      </c>
      <c r="L347" s="125">
        <v>37610</v>
      </c>
      <c r="M347" s="125">
        <v>19643</v>
      </c>
      <c r="N347" s="125">
        <v>21290</v>
      </c>
      <c r="O347" s="125">
        <v>13627</v>
      </c>
      <c r="P347" s="125">
        <v>15342</v>
      </c>
      <c r="Q347" s="125">
        <v>5145</v>
      </c>
      <c r="R347" s="125">
        <v>4908</v>
      </c>
      <c r="S347" s="125">
        <v>26996</v>
      </c>
      <c r="T347" s="125">
        <v>29508</v>
      </c>
      <c r="U347" s="125">
        <v>9584</v>
      </c>
      <c r="V347" s="125">
        <v>6682</v>
      </c>
      <c r="W347" s="125">
        <v>10308</v>
      </c>
      <c r="X347" s="125">
        <v>8535</v>
      </c>
      <c r="Y347" s="125">
        <v>26844</v>
      </c>
      <c r="Z347" s="125">
        <v>26978</v>
      </c>
    </row>
    <row r="348" spans="2:26" x14ac:dyDescent="0.2">
      <c r="B348" s="125" t="s">
        <v>269</v>
      </c>
      <c r="C348" s="125">
        <f t="shared" si="20"/>
        <v>8675.8571428571431</v>
      </c>
      <c r="D348" s="125">
        <f t="shared" si="20"/>
        <v>9068.8571428571431</v>
      </c>
      <c r="E348" s="125">
        <f t="shared" si="21"/>
        <v>2710507.5200000005</v>
      </c>
      <c r="F348" s="125">
        <f t="shared" si="22"/>
        <v>5057622.5</v>
      </c>
      <c r="G348" s="125">
        <f t="shared" si="23"/>
        <v>29728000</v>
      </c>
      <c r="H348" s="125">
        <v>32</v>
      </c>
      <c r="I348" s="125">
        <v>29696</v>
      </c>
      <c r="J348" s="125">
        <v>0</v>
      </c>
      <c r="K348" s="125">
        <v>12282</v>
      </c>
      <c r="L348" s="125">
        <v>12666</v>
      </c>
      <c r="M348" s="125">
        <v>10069</v>
      </c>
      <c r="N348" s="125">
        <v>12018</v>
      </c>
      <c r="O348" s="125">
        <v>11185</v>
      </c>
      <c r="P348" s="125">
        <v>12868</v>
      </c>
      <c r="Q348" s="125">
        <v>10491</v>
      </c>
      <c r="R348" s="125">
        <v>10117</v>
      </c>
      <c r="S348" s="125">
        <v>7369</v>
      </c>
      <c r="T348" s="125">
        <v>7599</v>
      </c>
      <c r="U348" s="125">
        <v>7603</v>
      </c>
      <c r="V348" s="125">
        <v>6586</v>
      </c>
      <c r="W348" s="125">
        <v>1732</v>
      </c>
      <c r="X348" s="125">
        <v>1628</v>
      </c>
      <c r="Y348" s="125">
        <v>18816</v>
      </c>
      <c r="Z348" s="125">
        <v>18907</v>
      </c>
    </row>
    <row r="349" spans="2:26" x14ac:dyDescent="0.2">
      <c r="B349" s="125" t="s">
        <v>153</v>
      </c>
      <c r="C349" s="125">
        <f t="shared" si="20"/>
        <v>1777.5714285714287</v>
      </c>
      <c r="D349" s="125">
        <f t="shared" si="20"/>
        <v>1862</v>
      </c>
      <c r="E349" s="125">
        <f t="shared" si="21"/>
        <v>2746920.9600000004</v>
      </c>
      <c r="F349" s="125">
        <f t="shared" si="22"/>
        <v>5125567.5</v>
      </c>
      <c r="G349" s="125">
        <f t="shared" si="23"/>
        <v>37418000</v>
      </c>
      <c r="H349" s="125">
        <v>32</v>
      </c>
      <c r="I349" s="125">
        <v>36898</v>
      </c>
      <c r="J349" s="125">
        <v>488</v>
      </c>
      <c r="K349" s="125">
        <v>443</v>
      </c>
      <c r="L349" s="125">
        <v>799</v>
      </c>
      <c r="M349" s="125">
        <v>443</v>
      </c>
      <c r="N349" s="125">
        <v>1012</v>
      </c>
      <c r="O349" s="125">
        <v>1170</v>
      </c>
      <c r="P349" s="125">
        <v>1336</v>
      </c>
      <c r="Q349" s="125">
        <v>3224</v>
      </c>
      <c r="R349" s="125">
        <v>2950</v>
      </c>
      <c r="S349" s="125">
        <v>1511</v>
      </c>
      <c r="T349" s="125">
        <v>1607</v>
      </c>
      <c r="U349" s="125">
        <v>1975</v>
      </c>
      <c r="V349" s="125">
        <v>1690</v>
      </c>
      <c r="W349" s="125">
        <v>3677</v>
      </c>
      <c r="X349" s="125">
        <v>3640</v>
      </c>
      <c r="Y349" s="125">
        <v>19088</v>
      </c>
      <c r="Z349" s="125">
        <v>19161</v>
      </c>
    </row>
    <row r="350" spans="2:26" x14ac:dyDescent="0.2">
      <c r="B350" s="125" t="s">
        <v>270</v>
      </c>
      <c r="C350" s="125">
        <f t="shared" si="20"/>
        <v>1390.4285714285713</v>
      </c>
      <c r="D350" s="125">
        <f t="shared" si="20"/>
        <v>1404.2857142857142</v>
      </c>
      <c r="E350" s="125">
        <f t="shared" si="21"/>
        <v>2153553.9200000004</v>
      </c>
      <c r="F350" s="125">
        <f t="shared" si="22"/>
        <v>4018385</v>
      </c>
      <c r="G350" s="125">
        <f t="shared" si="23"/>
        <v>25578000</v>
      </c>
      <c r="H350" s="125">
        <v>0</v>
      </c>
      <c r="I350" s="125">
        <v>25578</v>
      </c>
      <c r="J350" s="125">
        <v>0</v>
      </c>
      <c r="K350" s="125">
        <v>1098</v>
      </c>
      <c r="L350" s="125">
        <v>1099</v>
      </c>
      <c r="M350" s="125">
        <v>4042</v>
      </c>
      <c r="N350" s="125">
        <v>3948</v>
      </c>
      <c r="O350" s="125">
        <v>543</v>
      </c>
      <c r="P350" s="125">
        <v>693</v>
      </c>
      <c r="Q350" s="125">
        <v>896</v>
      </c>
      <c r="R350" s="125">
        <v>1111</v>
      </c>
      <c r="S350" s="125">
        <v>2346</v>
      </c>
      <c r="T350" s="125">
        <v>2172</v>
      </c>
      <c r="U350" s="125">
        <v>389</v>
      </c>
      <c r="V350" s="125">
        <v>389</v>
      </c>
      <c r="W350" s="125">
        <v>419</v>
      </c>
      <c r="X350" s="125">
        <v>418</v>
      </c>
      <c r="Y350" s="125">
        <v>14985</v>
      </c>
      <c r="Z350" s="125">
        <v>15022</v>
      </c>
    </row>
    <row r="351" spans="2:26" x14ac:dyDescent="0.2">
      <c r="B351" s="125" t="s">
        <v>821</v>
      </c>
      <c r="C351" s="125">
        <v>555.42857142857144</v>
      </c>
      <c r="D351" s="125">
        <v>1113.8571428571429</v>
      </c>
      <c r="E351" s="125">
        <v>3534397.4400000004</v>
      </c>
      <c r="F351" s="125">
        <v>6594945</v>
      </c>
      <c r="G351" s="125">
        <f t="shared" si="23"/>
        <v>47930000</v>
      </c>
      <c r="H351" s="125">
        <v>1145</v>
      </c>
      <c r="I351" s="125">
        <v>46710</v>
      </c>
      <c r="J351" s="125">
        <v>75</v>
      </c>
      <c r="K351" s="125">
        <v>273</v>
      </c>
      <c r="L351" s="125">
        <v>258</v>
      </c>
      <c r="M351" s="125">
        <v>1600</v>
      </c>
      <c r="N351" s="125">
        <v>4536</v>
      </c>
      <c r="O351" s="125">
        <v>907</v>
      </c>
      <c r="P351" s="125">
        <v>1670</v>
      </c>
      <c r="Q351" s="125">
        <v>470</v>
      </c>
      <c r="R351" s="125">
        <v>670</v>
      </c>
      <c r="S351" s="125">
        <v>310</v>
      </c>
      <c r="T351" s="125">
        <v>258</v>
      </c>
      <c r="U351" s="125">
        <v>183</v>
      </c>
      <c r="V351" s="125">
        <v>262</v>
      </c>
      <c r="W351" s="125">
        <v>145</v>
      </c>
      <c r="X351" s="125">
        <v>143</v>
      </c>
      <c r="Y351" s="125">
        <v>24857</v>
      </c>
      <c r="Z351" s="125">
        <v>24654</v>
      </c>
    </row>
    <row r="352" spans="2:26" x14ac:dyDescent="0.2">
      <c r="B352" s="125" t="s">
        <v>396</v>
      </c>
      <c r="C352" s="125">
        <f t="shared" si="20"/>
        <v>37900.142857142855</v>
      </c>
      <c r="D352" s="125">
        <f t="shared" si="20"/>
        <v>46294.571428571428</v>
      </c>
      <c r="E352" s="125">
        <f t="shared" si="21"/>
        <v>15409479.680000002</v>
      </c>
      <c r="F352" s="125">
        <f t="shared" si="22"/>
        <v>28753040</v>
      </c>
      <c r="G352" s="125">
        <f t="shared" si="23"/>
        <v>387006000</v>
      </c>
      <c r="H352" s="125">
        <v>39759</v>
      </c>
      <c r="I352" s="125">
        <v>340254</v>
      </c>
      <c r="J352" s="125">
        <v>6993</v>
      </c>
      <c r="K352" s="125">
        <v>54291</v>
      </c>
      <c r="L352" s="125">
        <v>86576</v>
      </c>
      <c r="M352" s="125">
        <v>39693</v>
      </c>
      <c r="N352" s="125">
        <v>56863</v>
      </c>
      <c r="O352" s="125">
        <v>28395</v>
      </c>
      <c r="P352" s="125">
        <v>38145</v>
      </c>
      <c r="Q352" s="125">
        <v>26523</v>
      </c>
      <c r="R352" s="125">
        <v>30954</v>
      </c>
      <c r="S352" s="125">
        <v>28652</v>
      </c>
      <c r="T352" s="125">
        <v>31738</v>
      </c>
      <c r="U352" s="125">
        <v>46790</v>
      </c>
      <c r="V352" s="125">
        <v>47629</v>
      </c>
      <c r="W352" s="125">
        <v>40957</v>
      </c>
      <c r="X352" s="125">
        <v>32157</v>
      </c>
      <c r="Y352" s="125">
        <v>105636</v>
      </c>
      <c r="Z352" s="125">
        <v>107488</v>
      </c>
    </row>
    <row r="353" spans="2:26" x14ac:dyDescent="0.2">
      <c r="B353" s="125" t="s">
        <v>198</v>
      </c>
      <c r="C353" s="125">
        <f t="shared" si="20"/>
        <v>2159.1428571428573</v>
      </c>
      <c r="D353" s="125">
        <f t="shared" si="20"/>
        <v>2191.5714285714284</v>
      </c>
      <c r="E353" s="125">
        <f t="shared" si="21"/>
        <v>3687219.2000000002</v>
      </c>
      <c r="F353" s="125">
        <f t="shared" si="22"/>
        <v>6880100</v>
      </c>
      <c r="G353" s="125">
        <f t="shared" si="23"/>
        <v>66965000</v>
      </c>
      <c r="H353" s="125">
        <v>-242</v>
      </c>
      <c r="I353" s="125">
        <v>66854</v>
      </c>
      <c r="J353" s="125">
        <v>353</v>
      </c>
      <c r="K353" s="125">
        <v>623</v>
      </c>
      <c r="L353" s="125">
        <v>2606</v>
      </c>
      <c r="M353" s="125">
        <v>2425</v>
      </c>
      <c r="N353" s="125">
        <v>2701</v>
      </c>
      <c r="O353" s="125">
        <v>2878</v>
      </c>
      <c r="P353" s="125">
        <v>3559</v>
      </c>
      <c r="Q353" s="125">
        <v>2177</v>
      </c>
      <c r="R353" s="125">
        <v>2076</v>
      </c>
      <c r="S353" s="125">
        <v>2643</v>
      </c>
      <c r="T353" s="125">
        <v>2414</v>
      </c>
      <c r="U353" s="125">
        <v>2095</v>
      </c>
      <c r="V353" s="125">
        <v>1985</v>
      </c>
      <c r="W353" s="125">
        <v>2273</v>
      </c>
      <c r="X353" s="125">
        <v>0</v>
      </c>
      <c r="Y353" s="125">
        <v>25611</v>
      </c>
      <c r="Z353" s="125">
        <v>25720</v>
      </c>
    </row>
    <row r="354" spans="2:26" x14ac:dyDescent="0.2">
      <c r="B354" s="125" t="s">
        <v>397</v>
      </c>
      <c r="C354" s="125">
        <f t="shared" si="20"/>
        <v>7294.7142857142853</v>
      </c>
      <c r="D354" s="125">
        <f t="shared" si="20"/>
        <v>8539</v>
      </c>
      <c r="E354" s="125">
        <f t="shared" si="21"/>
        <v>2080870.4000000001</v>
      </c>
      <c r="F354" s="125">
        <f t="shared" si="22"/>
        <v>3882762.5</v>
      </c>
      <c r="G354" s="125">
        <f t="shared" si="23"/>
        <v>78319000</v>
      </c>
      <c r="H354" s="125">
        <v>1</v>
      </c>
      <c r="I354" s="125">
        <v>76684</v>
      </c>
      <c r="J354" s="125">
        <v>1634</v>
      </c>
      <c r="K354" s="125">
        <v>11553</v>
      </c>
      <c r="L354" s="125">
        <v>15672</v>
      </c>
      <c r="M354" s="125">
        <v>14182</v>
      </c>
      <c r="N354" s="125">
        <v>14077</v>
      </c>
      <c r="O354" s="125">
        <v>6320</v>
      </c>
      <c r="P354" s="125">
        <v>7779</v>
      </c>
      <c r="Q354" s="125">
        <v>10348</v>
      </c>
      <c r="R354" s="125">
        <v>9486</v>
      </c>
      <c r="S354" s="125">
        <v>1950</v>
      </c>
      <c r="T354" s="125">
        <v>2722</v>
      </c>
      <c r="U354" s="125">
        <v>1524</v>
      </c>
      <c r="V354" s="125">
        <v>3061</v>
      </c>
      <c r="W354" s="125">
        <v>5186</v>
      </c>
      <c r="X354" s="125">
        <v>6976</v>
      </c>
      <c r="Y354" s="125">
        <v>14258</v>
      </c>
      <c r="Z354" s="125">
        <v>14515</v>
      </c>
    </row>
    <row r="355" spans="2:26" x14ac:dyDescent="0.2">
      <c r="B355" s="125" t="s">
        <v>220</v>
      </c>
      <c r="C355" s="125">
        <f t="shared" si="20"/>
        <v>5487.2857142857147</v>
      </c>
      <c r="D355" s="125">
        <f t="shared" si="20"/>
        <v>7182</v>
      </c>
      <c r="E355" s="125">
        <f t="shared" si="21"/>
        <v>3479203.8400000003</v>
      </c>
      <c r="F355" s="125">
        <f t="shared" si="22"/>
        <v>6491957.5</v>
      </c>
      <c r="G355" s="125">
        <f t="shared" si="23"/>
        <v>31855000</v>
      </c>
      <c r="H355" s="125">
        <v>0</v>
      </c>
      <c r="I355" s="125">
        <v>31717</v>
      </c>
      <c r="J355" s="125">
        <v>138</v>
      </c>
      <c r="K355" s="125">
        <v>6208</v>
      </c>
      <c r="L355" s="125">
        <v>7976</v>
      </c>
      <c r="M355" s="125">
        <v>5717</v>
      </c>
      <c r="N355" s="125">
        <v>5534</v>
      </c>
      <c r="O355" s="125">
        <v>5597</v>
      </c>
      <c r="P355" s="125">
        <v>6529</v>
      </c>
      <c r="Q355" s="125">
        <v>3941</v>
      </c>
      <c r="R355" s="125">
        <v>9675</v>
      </c>
      <c r="S355" s="125">
        <v>5406</v>
      </c>
      <c r="T355" s="125">
        <v>6175</v>
      </c>
      <c r="U355" s="125">
        <v>3130</v>
      </c>
      <c r="V355" s="125">
        <v>3791</v>
      </c>
      <c r="W355" s="125">
        <v>8412</v>
      </c>
      <c r="X355" s="125">
        <v>10594</v>
      </c>
      <c r="Y355" s="125">
        <v>24219</v>
      </c>
      <c r="Z355" s="125">
        <v>24269</v>
      </c>
    </row>
    <row r="356" spans="2:26" x14ac:dyDescent="0.2">
      <c r="B356" s="125" t="s">
        <v>271</v>
      </c>
      <c r="C356" s="125">
        <f t="shared" si="20"/>
        <v>3587</v>
      </c>
      <c r="D356" s="125">
        <f t="shared" si="20"/>
        <v>3770.5714285714284</v>
      </c>
      <c r="E356" s="125">
        <f t="shared" si="21"/>
        <v>5855109.1200000001</v>
      </c>
      <c r="F356" s="125">
        <f t="shared" si="22"/>
        <v>10925235</v>
      </c>
      <c r="G356" s="125">
        <f t="shared" si="23"/>
        <v>65766000</v>
      </c>
      <c r="H356" s="125">
        <v>98</v>
      </c>
      <c r="I356" s="125">
        <v>65668</v>
      </c>
      <c r="J356" s="125">
        <v>0</v>
      </c>
      <c r="K356" s="125">
        <v>5290</v>
      </c>
      <c r="L356" s="125">
        <v>4124</v>
      </c>
      <c r="M356" s="125">
        <v>6790</v>
      </c>
      <c r="N356" s="125">
        <v>6643</v>
      </c>
      <c r="O356" s="125">
        <v>1575</v>
      </c>
      <c r="P356" s="125">
        <v>3711</v>
      </c>
      <c r="Q356" s="125">
        <v>1820</v>
      </c>
      <c r="R356" s="125">
        <v>1403</v>
      </c>
      <c r="S356" s="125">
        <v>2594</v>
      </c>
      <c r="T356" s="125">
        <v>2594</v>
      </c>
      <c r="U356" s="125">
        <v>1370</v>
      </c>
      <c r="V356" s="125">
        <v>983</v>
      </c>
      <c r="W356" s="125">
        <v>5670</v>
      </c>
      <c r="X356" s="125">
        <v>6936</v>
      </c>
      <c r="Y356" s="125">
        <v>40878</v>
      </c>
      <c r="Z356" s="125">
        <v>40842</v>
      </c>
    </row>
    <row r="357" spans="2:26" x14ac:dyDescent="0.2">
      <c r="B357" s="125" t="s">
        <v>342</v>
      </c>
      <c r="C357" s="125">
        <f t="shared" si="20"/>
        <v>2308.2857142857142</v>
      </c>
      <c r="D357" s="125">
        <f t="shared" si="20"/>
        <v>3225.8571428571427</v>
      </c>
      <c r="E357" s="125">
        <f t="shared" si="21"/>
        <v>3392471.0400000005</v>
      </c>
      <c r="F357" s="125">
        <f t="shared" si="22"/>
        <v>6330120</v>
      </c>
      <c r="G357" s="125">
        <f t="shared" si="23"/>
        <v>37820000</v>
      </c>
      <c r="H357" s="125">
        <v>21</v>
      </c>
      <c r="I357" s="125">
        <v>37703</v>
      </c>
      <c r="J357" s="125">
        <v>96</v>
      </c>
      <c r="K357" s="125">
        <v>1842</v>
      </c>
      <c r="L357" s="125">
        <v>1817</v>
      </c>
      <c r="M357" s="125">
        <v>2672</v>
      </c>
      <c r="N357" s="125">
        <v>4600</v>
      </c>
      <c r="O357" s="125">
        <v>2210</v>
      </c>
      <c r="P357" s="125">
        <v>5437</v>
      </c>
      <c r="Q357" s="125">
        <v>700</v>
      </c>
      <c r="R357" s="125">
        <v>1744</v>
      </c>
      <c r="S357" s="125">
        <v>2872</v>
      </c>
      <c r="T357" s="125">
        <v>2641</v>
      </c>
      <c r="U357" s="125">
        <v>1989</v>
      </c>
      <c r="V357" s="125">
        <v>1996</v>
      </c>
      <c r="W357" s="125">
        <v>3873</v>
      </c>
      <c r="X357" s="125">
        <v>4346</v>
      </c>
      <c r="Y357" s="125">
        <v>23442</v>
      </c>
      <c r="Z357" s="125">
        <v>23664</v>
      </c>
    </row>
    <row r="358" spans="2:26" x14ac:dyDescent="0.2">
      <c r="B358" s="125" t="s">
        <v>297</v>
      </c>
      <c r="C358" s="125">
        <f t="shared" si="20"/>
        <v>4886</v>
      </c>
      <c r="D358" s="125">
        <f t="shared" si="20"/>
        <v>5218.7142857142853</v>
      </c>
      <c r="E358" s="125">
        <f t="shared" si="21"/>
        <v>3396485.1200000001</v>
      </c>
      <c r="F358" s="125">
        <f t="shared" si="22"/>
        <v>6337610</v>
      </c>
      <c r="G358" s="125">
        <f t="shared" si="23"/>
        <v>44084000</v>
      </c>
      <c r="H358" s="125">
        <v>2713</v>
      </c>
      <c r="I358" s="125">
        <v>41298</v>
      </c>
      <c r="J358" s="125">
        <v>73</v>
      </c>
      <c r="K358" s="125">
        <v>5360</v>
      </c>
      <c r="L358" s="125">
        <v>6832</v>
      </c>
      <c r="M358" s="125">
        <v>5461</v>
      </c>
      <c r="N358" s="125">
        <v>5700</v>
      </c>
      <c r="O358" s="125">
        <v>6683</v>
      </c>
      <c r="P358" s="125">
        <v>6985</v>
      </c>
      <c r="Q358" s="125">
        <v>4349</v>
      </c>
      <c r="R358" s="125">
        <v>4342</v>
      </c>
      <c r="S358" s="125">
        <v>4391</v>
      </c>
      <c r="T358" s="125">
        <v>4545</v>
      </c>
      <c r="U358" s="125">
        <v>5467</v>
      </c>
      <c r="V358" s="125">
        <v>5140</v>
      </c>
      <c r="W358" s="125">
        <v>2491</v>
      </c>
      <c r="X358" s="125">
        <v>2987</v>
      </c>
      <c r="Y358" s="125">
        <v>23504</v>
      </c>
      <c r="Z358" s="125">
        <v>23692</v>
      </c>
    </row>
    <row r="359" spans="2:26" x14ac:dyDescent="0.2">
      <c r="B359" s="125" t="s">
        <v>177</v>
      </c>
      <c r="C359" s="125">
        <f t="shared" si="20"/>
        <v>123.14285714285714</v>
      </c>
      <c r="D359" s="125">
        <f t="shared" si="20"/>
        <v>173.28571428571428</v>
      </c>
      <c r="E359" s="125">
        <f t="shared" si="21"/>
        <v>1943244.8000000003</v>
      </c>
      <c r="F359" s="125">
        <f t="shared" si="22"/>
        <v>3625962.5</v>
      </c>
      <c r="G359" s="125">
        <f t="shared" si="23"/>
        <v>19918000</v>
      </c>
      <c r="H359" s="125">
        <v>6</v>
      </c>
      <c r="I359" s="125">
        <v>19836</v>
      </c>
      <c r="J359" s="125">
        <v>76</v>
      </c>
      <c r="K359" s="125">
        <v>268</v>
      </c>
      <c r="L359" s="125">
        <v>181</v>
      </c>
      <c r="M359" s="125">
        <v>124</v>
      </c>
      <c r="N359" s="125">
        <v>104</v>
      </c>
      <c r="O359" s="125">
        <v>0</v>
      </c>
      <c r="P359" s="125">
        <v>181</v>
      </c>
      <c r="Q359" s="125">
        <v>103</v>
      </c>
      <c r="R359" s="125">
        <v>181</v>
      </c>
      <c r="S359" s="125">
        <v>0</v>
      </c>
      <c r="T359" s="125">
        <v>94</v>
      </c>
      <c r="U359" s="125">
        <v>276</v>
      </c>
      <c r="V359" s="125">
        <v>291</v>
      </c>
      <c r="W359" s="125">
        <v>91</v>
      </c>
      <c r="X359" s="125">
        <v>181</v>
      </c>
      <c r="Y359" s="125">
        <v>13596</v>
      </c>
      <c r="Z359" s="125">
        <v>13555</v>
      </c>
    </row>
    <row r="360" spans="2:26" x14ac:dyDescent="0.2">
      <c r="B360" s="125" t="s">
        <v>272</v>
      </c>
      <c r="C360" s="125">
        <f t="shared" si="20"/>
        <v>3820.2857142857142</v>
      </c>
      <c r="D360" s="125">
        <f t="shared" si="20"/>
        <v>3974.5714285714284</v>
      </c>
      <c r="E360" s="125">
        <f t="shared" si="21"/>
        <v>4158156.8000000003</v>
      </c>
      <c r="F360" s="125">
        <f t="shared" si="22"/>
        <v>7758837.5</v>
      </c>
      <c r="G360" s="125">
        <f t="shared" si="23"/>
        <v>128025000</v>
      </c>
      <c r="H360" s="125">
        <v>1079</v>
      </c>
      <c r="I360" s="125">
        <v>126382</v>
      </c>
      <c r="J360" s="125">
        <v>564</v>
      </c>
      <c r="K360" s="125">
        <v>5069</v>
      </c>
      <c r="L360" s="125">
        <v>5082</v>
      </c>
      <c r="M360" s="125">
        <v>5772</v>
      </c>
      <c r="N360" s="125">
        <v>7593</v>
      </c>
      <c r="O360" s="125">
        <v>4184</v>
      </c>
      <c r="P360" s="125">
        <v>3250</v>
      </c>
      <c r="Q360" s="125">
        <v>1565</v>
      </c>
      <c r="R360" s="125">
        <v>1755</v>
      </c>
      <c r="S360" s="125">
        <v>2089</v>
      </c>
      <c r="T360" s="125">
        <v>2476</v>
      </c>
      <c r="U360" s="125">
        <v>3315</v>
      </c>
      <c r="V360" s="125">
        <v>3285</v>
      </c>
      <c r="W360" s="125">
        <v>4748</v>
      </c>
      <c r="X360" s="125">
        <v>4381</v>
      </c>
      <c r="Y360" s="125">
        <v>28904</v>
      </c>
      <c r="Z360" s="125">
        <v>29005</v>
      </c>
    </row>
    <row r="361" spans="2:26" x14ac:dyDescent="0.2">
      <c r="B361" s="125" t="s">
        <v>476</v>
      </c>
      <c r="C361" s="125">
        <f t="shared" si="20"/>
        <v>1819.4285714285713</v>
      </c>
      <c r="D361" s="125">
        <f t="shared" si="20"/>
        <v>1209.8571428571429</v>
      </c>
      <c r="E361" s="125">
        <f t="shared" si="21"/>
        <v>3126251.5200000005</v>
      </c>
      <c r="F361" s="125">
        <f t="shared" si="22"/>
        <v>5833372.5</v>
      </c>
      <c r="G361" s="125">
        <f t="shared" si="23"/>
        <v>44659000</v>
      </c>
      <c r="H361" s="125">
        <v>3</v>
      </c>
      <c r="I361" s="125">
        <v>39978</v>
      </c>
      <c r="J361" s="125">
        <v>4678</v>
      </c>
      <c r="K361" s="125">
        <v>1782</v>
      </c>
      <c r="L361" s="125">
        <v>1307</v>
      </c>
      <c r="M361" s="125">
        <v>1527</v>
      </c>
      <c r="N361" s="125">
        <v>858</v>
      </c>
      <c r="O361" s="125">
        <v>1076</v>
      </c>
      <c r="P361" s="125">
        <v>400</v>
      </c>
      <c r="Q361" s="125">
        <v>4180</v>
      </c>
      <c r="R361" s="125">
        <v>2627</v>
      </c>
      <c r="S361" s="125">
        <v>673</v>
      </c>
      <c r="T361" s="125">
        <v>602</v>
      </c>
      <c r="U361" s="125">
        <v>1873</v>
      </c>
      <c r="V361" s="125">
        <v>1435</v>
      </c>
      <c r="W361" s="125">
        <v>1625</v>
      </c>
      <c r="X361" s="125">
        <v>1240</v>
      </c>
      <c r="Y361" s="125">
        <v>21833</v>
      </c>
      <c r="Z361" s="125">
        <v>21807</v>
      </c>
    </row>
    <row r="362" spans="2:26" x14ac:dyDescent="0.2">
      <c r="B362" s="125" t="s">
        <v>298</v>
      </c>
      <c r="C362" s="125">
        <f t="shared" si="20"/>
        <v>11636.857142857143</v>
      </c>
      <c r="D362" s="125">
        <f t="shared" si="20"/>
        <v>10733.571428571429</v>
      </c>
      <c r="E362" s="125">
        <f t="shared" si="21"/>
        <v>7421030.4000000004</v>
      </c>
      <c r="F362" s="125">
        <f t="shared" si="22"/>
        <v>13847137.5</v>
      </c>
      <c r="G362" s="125">
        <f t="shared" si="23"/>
        <v>187136000</v>
      </c>
      <c r="H362" s="125">
        <v>32</v>
      </c>
      <c r="I362" s="125">
        <v>186752</v>
      </c>
      <c r="J362" s="125">
        <v>352</v>
      </c>
      <c r="K362" s="125">
        <v>18899</v>
      </c>
      <c r="L362" s="125">
        <v>12126</v>
      </c>
      <c r="M362" s="125">
        <v>14152</v>
      </c>
      <c r="N362" s="125">
        <v>13473</v>
      </c>
      <c r="O362" s="125">
        <v>8319</v>
      </c>
      <c r="P362" s="125">
        <v>8210</v>
      </c>
      <c r="Q362" s="125">
        <v>4770</v>
      </c>
      <c r="R362" s="125">
        <v>7686</v>
      </c>
      <c r="S362" s="125">
        <v>4718</v>
      </c>
      <c r="T362" s="125">
        <v>4970</v>
      </c>
      <c r="U362" s="125">
        <v>21374</v>
      </c>
      <c r="V362" s="125">
        <v>19210</v>
      </c>
      <c r="W362" s="125">
        <v>9226</v>
      </c>
      <c r="X362" s="125">
        <v>9460</v>
      </c>
      <c r="Y362" s="125">
        <v>51522</v>
      </c>
      <c r="Z362" s="125">
        <v>51765</v>
      </c>
    </row>
    <row r="363" spans="2:26" x14ac:dyDescent="0.2">
      <c r="B363" s="125" t="s">
        <v>343</v>
      </c>
      <c r="C363" s="125">
        <f t="shared" si="20"/>
        <v>447.14285714285717</v>
      </c>
      <c r="D363" s="125">
        <f t="shared" si="20"/>
        <v>681.42857142857144</v>
      </c>
      <c r="E363" s="125">
        <f t="shared" si="21"/>
        <v>2294190.0800000001</v>
      </c>
      <c r="F363" s="125">
        <f t="shared" si="22"/>
        <v>4280802.5</v>
      </c>
      <c r="G363" s="125">
        <f t="shared" si="23"/>
        <v>30433000</v>
      </c>
      <c r="H363" s="125">
        <v>860</v>
      </c>
      <c r="I363" s="125">
        <v>29573</v>
      </c>
      <c r="J363" s="125">
        <v>0</v>
      </c>
      <c r="K363" s="125">
        <v>1005</v>
      </c>
      <c r="L363" s="125">
        <v>1117</v>
      </c>
      <c r="M363" s="125">
        <v>260</v>
      </c>
      <c r="N363" s="125">
        <v>314</v>
      </c>
      <c r="O363" s="125">
        <v>664</v>
      </c>
      <c r="P363" s="125">
        <v>686</v>
      </c>
      <c r="Q363" s="125">
        <v>983</v>
      </c>
      <c r="R363" s="125">
        <v>671</v>
      </c>
      <c r="S363" s="125">
        <v>34</v>
      </c>
      <c r="T363" s="125">
        <v>206</v>
      </c>
      <c r="U363" s="125">
        <v>111</v>
      </c>
      <c r="V363" s="125">
        <v>408</v>
      </c>
      <c r="W363" s="125">
        <v>73</v>
      </c>
      <c r="X363" s="125">
        <v>1368</v>
      </c>
      <c r="Y363" s="125">
        <v>15804</v>
      </c>
      <c r="Z363" s="125">
        <v>16003</v>
      </c>
    </row>
    <row r="364" spans="2:26" x14ac:dyDescent="0.2">
      <c r="B364" s="125" t="s">
        <v>299</v>
      </c>
      <c r="C364" s="125">
        <f t="shared" si="20"/>
        <v>10114.142857142857</v>
      </c>
      <c r="D364" s="125">
        <f t="shared" si="20"/>
        <v>9887.5714285714294</v>
      </c>
      <c r="E364" s="125">
        <f t="shared" si="21"/>
        <v>1866833.9200000002</v>
      </c>
      <c r="F364" s="125">
        <f t="shared" si="22"/>
        <v>3483385</v>
      </c>
      <c r="G364" s="125">
        <f t="shared" si="23"/>
        <v>21494000</v>
      </c>
      <c r="H364" s="125">
        <v>138</v>
      </c>
      <c r="I364" s="125">
        <v>21216</v>
      </c>
      <c r="J364" s="125">
        <v>140</v>
      </c>
      <c r="K364" s="125">
        <v>8313</v>
      </c>
      <c r="L364" s="125">
        <v>8165</v>
      </c>
      <c r="M364" s="125">
        <v>25059</v>
      </c>
      <c r="N364" s="125">
        <v>24309</v>
      </c>
      <c r="O364" s="125">
        <v>6909</v>
      </c>
      <c r="P364" s="125">
        <v>6408</v>
      </c>
      <c r="Q364" s="125">
        <v>4524</v>
      </c>
      <c r="R364" s="125">
        <v>4548</v>
      </c>
      <c r="S364" s="125">
        <v>3468</v>
      </c>
      <c r="T364" s="125">
        <v>3525</v>
      </c>
      <c r="U364" s="125">
        <v>11042</v>
      </c>
      <c r="V364" s="125">
        <v>10773</v>
      </c>
      <c r="W364" s="125">
        <v>11484</v>
      </c>
      <c r="X364" s="125">
        <v>11485</v>
      </c>
      <c r="Y364" s="125">
        <v>12701</v>
      </c>
      <c r="Z364" s="125">
        <v>13022</v>
      </c>
    </row>
    <row r="365" spans="2:26" x14ac:dyDescent="0.2">
      <c r="B365" s="125" t="s">
        <v>477</v>
      </c>
      <c r="C365" s="125">
        <f t="shared" si="20"/>
        <v>4193.1428571428569</v>
      </c>
      <c r="D365" s="125">
        <f t="shared" si="20"/>
        <v>4631.8571428571431</v>
      </c>
      <c r="E365" s="125">
        <f t="shared" si="21"/>
        <v>2098216.9600000004</v>
      </c>
      <c r="F365" s="125">
        <f t="shared" si="22"/>
        <v>3915130</v>
      </c>
      <c r="G365" s="125">
        <f t="shared" si="23"/>
        <v>36606000</v>
      </c>
      <c r="H365" s="125">
        <v>0</v>
      </c>
      <c r="I365" s="125">
        <v>36606</v>
      </c>
      <c r="J365" s="125">
        <v>0</v>
      </c>
      <c r="K365" s="125">
        <v>3492</v>
      </c>
      <c r="L365" s="125">
        <v>3688</v>
      </c>
      <c r="M365" s="125">
        <v>4784</v>
      </c>
      <c r="N365" s="125">
        <v>4408</v>
      </c>
      <c r="O365" s="125">
        <v>4145</v>
      </c>
      <c r="P365" s="125">
        <v>4335</v>
      </c>
      <c r="Q365" s="125">
        <v>2889</v>
      </c>
      <c r="R365" s="125">
        <v>3689</v>
      </c>
      <c r="S365" s="125">
        <v>7021</v>
      </c>
      <c r="T365" s="125">
        <v>9277</v>
      </c>
      <c r="U365" s="125">
        <v>3428</v>
      </c>
      <c r="V365" s="125">
        <v>3219</v>
      </c>
      <c r="W365" s="125">
        <v>3593</v>
      </c>
      <c r="X365" s="125">
        <v>3807</v>
      </c>
      <c r="Y365" s="125">
        <v>14537</v>
      </c>
      <c r="Z365" s="125">
        <v>14636</v>
      </c>
    </row>
    <row r="366" spans="2:26" x14ac:dyDescent="0.2">
      <c r="B366" s="125" t="s">
        <v>344</v>
      </c>
      <c r="C366" s="125">
        <f t="shared" si="20"/>
        <v>36538.428571428572</v>
      </c>
      <c r="D366" s="125">
        <f t="shared" si="20"/>
        <v>35959.428571428572</v>
      </c>
      <c r="E366" s="125">
        <f t="shared" si="21"/>
        <v>22195855.360000003</v>
      </c>
      <c r="F366" s="125">
        <f t="shared" si="22"/>
        <v>41415955</v>
      </c>
      <c r="G366" s="125">
        <f t="shared" si="23"/>
        <v>605882000</v>
      </c>
      <c r="H366" s="125">
        <v>27</v>
      </c>
      <c r="I366" s="125">
        <v>604366</v>
      </c>
      <c r="J366" s="125">
        <v>1489</v>
      </c>
      <c r="K366" s="125">
        <v>52242</v>
      </c>
      <c r="L366" s="125">
        <v>47681</v>
      </c>
      <c r="M366" s="125">
        <v>27330</v>
      </c>
      <c r="N366" s="125">
        <v>44300</v>
      </c>
      <c r="O366" s="125">
        <v>33548</v>
      </c>
      <c r="P366" s="125">
        <v>42969</v>
      </c>
      <c r="Q366" s="125">
        <v>54573</v>
      </c>
      <c r="R366" s="125">
        <v>31881</v>
      </c>
      <c r="S366" s="125">
        <v>32517</v>
      </c>
      <c r="T366" s="125">
        <v>43365</v>
      </c>
      <c r="U366" s="125">
        <v>37879</v>
      </c>
      <c r="V366" s="125">
        <v>31240</v>
      </c>
      <c r="W366" s="125">
        <v>17680</v>
      </c>
      <c r="X366" s="125">
        <v>10280</v>
      </c>
      <c r="Y366" s="125">
        <v>153750</v>
      </c>
      <c r="Z366" s="125">
        <v>154826</v>
      </c>
    </row>
    <row r="367" spans="2:26" x14ac:dyDescent="0.2">
      <c r="B367" s="125" t="s">
        <v>273</v>
      </c>
      <c r="C367" s="125">
        <f t="shared" si="20"/>
        <v>11214.857142857143</v>
      </c>
      <c r="D367" s="125">
        <f t="shared" si="20"/>
        <v>11371</v>
      </c>
      <c r="E367" s="125">
        <f t="shared" si="21"/>
        <v>4017233.9200000004</v>
      </c>
      <c r="F367" s="125">
        <f t="shared" si="22"/>
        <v>7495885</v>
      </c>
      <c r="G367" s="125">
        <f t="shared" si="23"/>
        <v>55684000</v>
      </c>
      <c r="H367" s="125">
        <v>0</v>
      </c>
      <c r="I367" s="125">
        <v>55340</v>
      </c>
      <c r="J367" s="125">
        <v>344</v>
      </c>
      <c r="K367" s="125">
        <v>16641</v>
      </c>
      <c r="L367" s="125">
        <v>17993</v>
      </c>
      <c r="M367" s="125">
        <v>10422</v>
      </c>
      <c r="N367" s="125">
        <v>12527</v>
      </c>
      <c r="O367" s="125">
        <v>16771</v>
      </c>
      <c r="P367" s="125">
        <v>19345</v>
      </c>
      <c r="Q367" s="125">
        <v>7042</v>
      </c>
      <c r="R367" s="125">
        <v>6950</v>
      </c>
      <c r="S367" s="125">
        <v>6746</v>
      </c>
      <c r="T367" s="125">
        <v>6779</v>
      </c>
      <c r="U367" s="125">
        <v>5996</v>
      </c>
      <c r="V367" s="125">
        <v>6604</v>
      </c>
      <c r="W367" s="125">
        <v>14886</v>
      </c>
      <c r="X367" s="125">
        <v>9399</v>
      </c>
      <c r="Y367" s="125">
        <v>27727</v>
      </c>
      <c r="Z367" s="125">
        <v>28022</v>
      </c>
    </row>
    <row r="368" spans="2:26" x14ac:dyDescent="0.2">
      <c r="B368" s="125" t="s">
        <v>345</v>
      </c>
      <c r="C368" s="125">
        <f t="shared" si="20"/>
        <v>139.14285714285714</v>
      </c>
      <c r="D368" s="125">
        <f t="shared" si="20"/>
        <v>101.71428571428571</v>
      </c>
      <c r="E368" s="125">
        <f t="shared" si="21"/>
        <v>2432245.7600000002</v>
      </c>
      <c r="F368" s="125">
        <f t="shared" si="22"/>
        <v>4538405</v>
      </c>
      <c r="G368" s="125">
        <f t="shared" si="23"/>
        <v>58547000</v>
      </c>
      <c r="H368" s="125">
        <v>288</v>
      </c>
      <c r="I368" s="125">
        <v>58259</v>
      </c>
      <c r="J368" s="125">
        <v>0</v>
      </c>
      <c r="K368" s="125">
        <v>340</v>
      </c>
      <c r="L368" s="125">
        <v>58</v>
      </c>
      <c r="M368" s="125">
        <v>258</v>
      </c>
      <c r="N368" s="125">
        <v>31</v>
      </c>
      <c r="O368" s="125">
        <v>299</v>
      </c>
      <c r="P368" s="125">
        <v>26</v>
      </c>
      <c r="Q368" s="125">
        <v>299</v>
      </c>
      <c r="R368" s="125">
        <v>20</v>
      </c>
      <c r="S368" s="125">
        <v>0</v>
      </c>
      <c r="T368" s="125">
        <v>0</v>
      </c>
      <c r="U368" s="125">
        <v>0</v>
      </c>
      <c r="V368" s="125">
        <v>0</v>
      </c>
      <c r="W368" s="125">
        <v>-222</v>
      </c>
      <c r="X368" s="125">
        <v>577</v>
      </c>
      <c r="Y368" s="125">
        <v>16894</v>
      </c>
      <c r="Z368" s="125">
        <v>16966</v>
      </c>
    </row>
    <row r="369" spans="2:35" x14ac:dyDescent="0.2">
      <c r="B369" s="125" t="s">
        <v>398</v>
      </c>
      <c r="C369" s="125">
        <f t="shared" si="20"/>
        <v>1876.5714285714287</v>
      </c>
      <c r="D369" s="125">
        <f t="shared" si="20"/>
        <v>2054.1428571428573</v>
      </c>
      <c r="E369" s="125">
        <f t="shared" si="21"/>
        <v>2007756.8000000003</v>
      </c>
      <c r="F369" s="125">
        <f t="shared" si="22"/>
        <v>3746337.5</v>
      </c>
      <c r="G369" s="125">
        <f t="shared" si="23"/>
        <v>29478000</v>
      </c>
      <c r="H369" s="125">
        <v>132</v>
      </c>
      <c r="I369" s="125">
        <v>28438</v>
      </c>
      <c r="J369" s="125">
        <v>908</v>
      </c>
      <c r="K369" s="125">
        <v>2746</v>
      </c>
      <c r="L369" s="125">
        <v>2796</v>
      </c>
      <c r="M369" s="125">
        <v>3974</v>
      </c>
      <c r="N369" s="125">
        <v>5257</v>
      </c>
      <c r="O369" s="125">
        <v>885</v>
      </c>
      <c r="P369" s="125">
        <v>1080</v>
      </c>
      <c r="Q369" s="125">
        <v>1195</v>
      </c>
      <c r="R369" s="125">
        <v>1290</v>
      </c>
      <c r="S369" s="125">
        <v>1199</v>
      </c>
      <c r="T369" s="125">
        <v>969</v>
      </c>
      <c r="U369" s="125">
        <v>3137</v>
      </c>
      <c r="V369" s="125">
        <v>2987</v>
      </c>
      <c r="W369" s="125">
        <v>0</v>
      </c>
      <c r="X369" s="125">
        <v>0</v>
      </c>
      <c r="Y369" s="125">
        <v>13839</v>
      </c>
      <c r="Z369" s="125">
        <v>14005</v>
      </c>
    </row>
    <row r="370" spans="2:35" x14ac:dyDescent="0.2">
      <c r="B370" s="125" t="s">
        <v>516</v>
      </c>
      <c r="C370" s="125">
        <f t="shared" si="20"/>
        <v>7545.4285714285716</v>
      </c>
      <c r="D370" s="125">
        <f t="shared" si="20"/>
        <v>7867.5714285714284</v>
      </c>
      <c r="E370" s="125">
        <f t="shared" si="21"/>
        <v>3210117.1200000001</v>
      </c>
      <c r="F370" s="125">
        <f t="shared" si="22"/>
        <v>5989860</v>
      </c>
      <c r="G370" s="125">
        <f t="shared" si="23"/>
        <v>27253000</v>
      </c>
      <c r="H370" s="125">
        <v>0</v>
      </c>
      <c r="I370" s="125">
        <v>27230</v>
      </c>
      <c r="J370" s="125">
        <v>23</v>
      </c>
      <c r="K370" s="125">
        <v>380</v>
      </c>
      <c r="L370" s="125">
        <v>648</v>
      </c>
      <c r="M370" s="125">
        <v>214</v>
      </c>
      <c r="N370" s="125">
        <v>762</v>
      </c>
      <c r="O370" s="125">
        <v>3796</v>
      </c>
      <c r="P370" s="125">
        <v>5664</v>
      </c>
      <c r="Q370" s="125">
        <v>23646</v>
      </c>
      <c r="R370" s="125">
        <v>24630</v>
      </c>
      <c r="S370" s="125">
        <v>23553</v>
      </c>
      <c r="T370" s="125">
        <v>22980</v>
      </c>
      <c r="U370" s="125">
        <v>114</v>
      </c>
      <c r="V370" s="125">
        <v>572</v>
      </c>
      <c r="W370" s="125">
        <v>1115</v>
      </c>
      <c r="X370" s="125">
        <v>-183</v>
      </c>
      <c r="Y370" s="125">
        <v>22459</v>
      </c>
      <c r="Z370" s="125">
        <v>22392</v>
      </c>
    </row>
    <row r="371" spans="2:35" x14ac:dyDescent="0.2">
      <c r="B371" s="125" t="s">
        <v>300</v>
      </c>
      <c r="C371" s="125">
        <f t="shared" si="20"/>
        <v>8361</v>
      </c>
      <c r="D371" s="125">
        <f t="shared" si="20"/>
        <v>9602.1428571428569</v>
      </c>
      <c r="E371" s="125">
        <f t="shared" si="21"/>
        <v>9080422.4000000004</v>
      </c>
      <c r="F371" s="125">
        <f t="shared" si="22"/>
        <v>16943450</v>
      </c>
      <c r="G371" s="125">
        <f t="shared" si="23"/>
        <v>126303000</v>
      </c>
      <c r="H371" s="125">
        <v>976</v>
      </c>
      <c r="I371" s="125">
        <v>124784</v>
      </c>
      <c r="J371" s="125">
        <v>543</v>
      </c>
      <c r="K371" s="125">
        <v>5596</v>
      </c>
      <c r="L371" s="125">
        <v>12010</v>
      </c>
      <c r="M371" s="125">
        <v>14012</v>
      </c>
      <c r="N371" s="125">
        <v>14514</v>
      </c>
      <c r="O371" s="125">
        <v>10403</v>
      </c>
      <c r="P371" s="125">
        <v>10528</v>
      </c>
      <c r="Q371" s="125">
        <v>12382</v>
      </c>
      <c r="R371" s="125">
        <v>12593</v>
      </c>
      <c r="S371" s="125">
        <v>5586</v>
      </c>
      <c r="T371" s="125">
        <v>5650</v>
      </c>
      <c r="U371" s="125">
        <v>3623</v>
      </c>
      <c r="V371" s="125">
        <v>8395</v>
      </c>
      <c r="W371" s="125">
        <v>6925</v>
      </c>
      <c r="X371" s="125">
        <v>3525</v>
      </c>
      <c r="Y371" s="125">
        <v>62826</v>
      </c>
      <c r="Z371" s="125">
        <v>63340</v>
      </c>
    </row>
    <row r="372" spans="2:35" x14ac:dyDescent="0.2">
      <c r="B372" s="125" t="s">
        <v>274</v>
      </c>
      <c r="C372" s="125">
        <v>11925.428571428571</v>
      </c>
      <c r="D372" s="125">
        <v>19735.428571428569</v>
      </c>
      <c r="E372" s="125">
        <v>6223400.9600000009</v>
      </c>
      <c r="F372" s="125">
        <v>11612442.5</v>
      </c>
      <c r="G372" s="125">
        <f t="shared" si="23"/>
        <v>110307000</v>
      </c>
      <c r="H372" s="125">
        <v>291</v>
      </c>
      <c r="I372" s="125">
        <v>109981</v>
      </c>
      <c r="J372" s="125">
        <v>35</v>
      </c>
      <c r="K372" s="125">
        <v>18144</v>
      </c>
      <c r="L372" s="125">
        <v>23583</v>
      </c>
      <c r="M372" s="125">
        <v>13765</v>
      </c>
      <c r="N372" s="125">
        <v>39687</v>
      </c>
      <c r="O372" s="125">
        <v>14861</v>
      </c>
      <c r="P372" s="125">
        <v>35508</v>
      </c>
      <c r="Q372" s="125">
        <v>6478</v>
      </c>
      <c r="R372" s="125">
        <v>7677</v>
      </c>
      <c r="S372" s="125">
        <v>9142</v>
      </c>
      <c r="T372" s="125">
        <v>12721</v>
      </c>
      <c r="U372" s="125">
        <v>8799</v>
      </c>
      <c r="V372" s="125">
        <v>7404</v>
      </c>
      <c r="W372" s="125">
        <v>12289</v>
      </c>
      <c r="X372" s="125">
        <v>11568</v>
      </c>
      <c r="Y372" s="125">
        <v>43222</v>
      </c>
      <c r="Z372" s="125">
        <v>43411</v>
      </c>
    </row>
    <row r="373" spans="2:35" x14ac:dyDescent="0.2">
      <c r="B373" s="125" t="s">
        <v>399</v>
      </c>
      <c r="C373" s="125">
        <f t="shared" si="20"/>
        <v>27257.142857142859</v>
      </c>
      <c r="D373" s="125">
        <f t="shared" si="20"/>
        <v>29922.428571428572</v>
      </c>
      <c r="E373" s="125">
        <f t="shared" si="21"/>
        <v>17879715.84</v>
      </c>
      <c r="F373" s="125">
        <f t="shared" si="22"/>
        <v>33362332.5</v>
      </c>
      <c r="G373" s="125">
        <f t="shared" si="23"/>
        <v>265618000</v>
      </c>
      <c r="H373" s="125">
        <v>0</v>
      </c>
      <c r="I373" s="125">
        <v>265609</v>
      </c>
      <c r="J373" s="125">
        <v>9</v>
      </c>
      <c r="K373" s="125">
        <v>38636</v>
      </c>
      <c r="L373" s="125">
        <v>40401</v>
      </c>
      <c r="M373" s="125">
        <v>41647</v>
      </c>
      <c r="N373" s="125">
        <v>54506</v>
      </c>
      <c r="O373" s="125">
        <v>27805</v>
      </c>
      <c r="P373" s="125">
        <v>25189</v>
      </c>
      <c r="Q373" s="125">
        <v>34239</v>
      </c>
      <c r="R373" s="125">
        <v>32165</v>
      </c>
      <c r="S373" s="125">
        <v>25452</v>
      </c>
      <c r="T373" s="125">
        <v>33034</v>
      </c>
      <c r="U373" s="125">
        <v>14954</v>
      </c>
      <c r="V373" s="125">
        <v>13065</v>
      </c>
      <c r="W373" s="125">
        <v>8067</v>
      </c>
      <c r="X373" s="125">
        <v>11097</v>
      </c>
      <c r="Y373" s="125">
        <v>124745</v>
      </c>
      <c r="Z373" s="125">
        <v>124719</v>
      </c>
    </row>
    <row r="374" spans="2:35" x14ac:dyDescent="0.2">
      <c r="B374" s="125" t="s">
        <v>400</v>
      </c>
      <c r="C374" s="125">
        <f t="shared" si="20"/>
        <v>1668.1428571428571</v>
      </c>
      <c r="D374" s="125">
        <f t="shared" si="20"/>
        <v>2124.4285714285716</v>
      </c>
      <c r="E374" s="125">
        <f t="shared" si="21"/>
        <v>1206947.8400000001</v>
      </c>
      <c r="F374" s="125">
        <f t="shared" si="22"/>
        <v>2252082.5</v>
      </c>
      <c r="G374" s="125">
        <f t="shared" si="23"/>
        <v>21265000</v>
      </c>
      <c r="H374" s="125">
        <v>2035</v>
      </c>
      <c r="I374" s="125">
        <v>19080</v>
      </c>
      <c r="J374" s="125">
        <v>150</v>
      </c>
      <c r="K374" s="125">
        <v>10</v>
      </c>
      <c r="L374" s="125">
        <v>63</v>
      </c>
      <c r="M374" s="125">
        <v>0</v>
      </c>
      <c r="N374" s="125">
        <v>41</v>
      </c>
      <c r="O374" s="125">
        <v>1632</v>
      </c>
      <c r="P374" s="125">
        <v>1652</v>
      </c>
      <c r="Q374" s="125">
        <v>2480</v>
      </c>
      <c r="R374" s="125">
        <v>3146</v>
      </c>
      <c r="S374" s="125">
        <v>9090</v>
      </c>
      <c r="T374" s="125">
        <v>7850</v>
      </c>
      <c r="U374" s="125">
        <v>694</v>
      </c>
      <c r="V374" s="125">
        <v>681</v>
      </c>
      <c r="W374" s="125">
        <v>-2229</v>
      </c>
      <c r="X374" s="125">
        <v>1438</v>
      </c>
      <c r="Y374" s="125">
        <v>8371</v>
      </c>
      <c r="Z374" s="125">
        <v>8419</v>
      </c>
    </row>
    <row r="375" spans="2:35" x14ac:dyDescent="0.2">
      <c r="B375" s="125" t="s">
        <v>178</v>
      </c>
      <c r="C375" s="125">
        <f t="shared" si="20"/>
        <v>2597.5714285714284</v>
      </c>
      <c r="D375" s="125">
        <f t="shared" si="20"/>
        <v>2621.2857142857142</v>
      </c>
      <c r="E375" s="125">
        <f t="shared" si="21"/>
        <v>2712801.2800000003</v>
      </c>
      <c r="F375" s="125">
        <f t="shared" si="22"/>
        <v>5061902.5</v>
      </c>
      <c r="G375" s="125">
        <f t="shared" si="23"/>
        <v>48590000</v>
      </c>
      <c r="H375" s="125">
        <v>2024</v>
      </c>
      <c r="I375" s="125">
        <v>46439</v>
      </c>
      <c r="J375" s="125">
        <v>127</v>
      </c>
      <c r="K375" s="125">
        <v>4053</v>
      </c>
      <c r="L375" s="125">
        <v>3728</v>
      </c>
      <c r="M375" s="125">
        <v>1490</v>
      </c>
      <c r="N375" s="125">
        <v>1539</v>
      </c>
      <c r="O375" s="125">
        <v>3187</v>
      </c>
      <c r="P375" s="125">
        <v>4131</v>
      </c>
      <c r="Q375" s="125">
        <v>1263</v>
      </c>
      <c r="R375" s="125">
        <v>1335</v>
      </c>
      <c r="S375" s="125">
        <v>4742</v>
      </c>
      <c r="T375" s="125">
        <v>4915</v>
      </c>
      <c r="U375" s="125">
        <v>961</v>
      </c>
      <c r="V375" s="125">
        <v>1158</v>
      </c>
      <c r="W375" s="125">
        <v>2487</v>
      </c>
      <c r="X375" s="125">
        <v>1543</v>
      </c>
      <c r="Y375" s="125">
        <v>18863</v>
      </c>
      <c r="Z375" s="125">
        <v>18923</v>
      </c>
    </row>
    <row r="376" spans="2:35" x14ac:dyDescent="0.2">
      <c r="B376" s="125" t="s">
        <v>401</v>
      </c>
      <c r="C376" s="125">
        <f t="shared" si="20"/>
        <v>16825.428571428572</v>
      </c>
      <c r="D376" s="125">
        <f t="shared" si="20"/>
        <v>17682.571428571428</v>
      </c>
      <c r="E376" s="125">
        <f t="shared" si="21"/>
        <v>6006067.2000000002</v>
      </c>
      <c r="F376" s="125">
        <f t="shared" si="22"/>
        <v>11206912.5</v>
      </c>
      <c r="G376" s="125">
        <f t="shared" si="23"/>
        <v>110564000</v>
      </c>
      <c r="H376" s="125">
        <v>1999</v>
      </c>
      <c r="I376" s="125">
        <v>108062</v>
      </c>
      <c r="J376" s="125">
        <v>503</v>
      </c>
      <c r="K376" s="125">
        <v>8035</v>
      </c>
      <c r="L376" s="125">
        <v>7831</v>
      </c>
      <c r="M376" s="125">
        <v>10336</v>
      </c>
      <c r="N376" s="125">
        <v>14609</v>
      </c>
      <c r="O376" s="125">
        <v>19703</v>
      </c>
      <c r="P376" s="125">
        <v>29702</v>
      </c>
      <c r="Q376" s="125">
        <v>22143</v>
      </c>
      <c r="R376" s="125">
        <v>20205</v>
      </c>
      <c r="S376" s="125">
        <v>20462</v>
      </c>
      <c r="T376" s="125">
        <v>20757</v>
      </c>
      <c r="U376" s="125">
        <v>18087</v>
      </c>
      <c r="V376" s="125">
        <v>18747</v>
      </c>
      <c r="W376" s="125">
        <v>19012</v>
      </c>
      <c r="X376" s="125">
        <v>11927</v>
      </c>
      <c r="Y376" s="125">
        <v>41462</v>
      </c>
      <c r="Z376" s="125">
        <v>41895</v>
      </c>
    </row>
    <row r="377" spans="2:35" x14ac:dyDescent="0.2">
      <c r="B377" s="125" t="s">
        <v>478</v>
      </c>
      <c r="C377" s="125">
        <f t="shared" si="20"/>
        <v>1627.8571428571429</v>
      </c>
      <c r="D377" s="125">
        <f t="shared" si="20"/>
        <v>1719.1428571428571</v>
      </c>
      <c r="E377" s="125">
        <f t="shared" si="21"/>
        <v>3085680.6400000001</v>
      </c>
      <c r="F377" s="125">
        <f t="shared" si="22"/>
        <v>5757670</v>
      </c>
      <c r="G377" s="125">
        <f t="shared" si="23"/>
        <v>25715000</v>
      </c>
      <c r="H377" s="125">
        <v>273</v>
      </c>
      <c r="I377" s="125">
        <v>25084</v>
      </c>
      <c r="J377" s="125">
        <v>358</v>
      </c>
      <c r="K377" s="125">
        <v>2042</v>
      </c>
      <c r="L377" s="125">
        <v>2856</v>
      </c>
      <c r="M377" s="125">
        <v>1774</v>
      </c>
      <c r="N377" s="125">
        <v>1972</v>
      </c>
      <c r="O377" s="125">
        <v>4042</v>
      </c>
      <c r="P377" s="125">
        <v>3451</v>
      </c>
      <c r="Q377" s="125">
        <v>1206</v>
      </c>
      <c r="R377" s="125">
        <v>1123</v>
      </c>
      <c r="S377" s="125">
        <v>1354</v>
      </c>
      <c r="T377" s="125">
        <v>2572</v>
      </c>
      <c r="U377" s="125">
        <v>-2456</v>
      </c>
      <c r="V377" s="125">
        <v>-2846</v>
      </c>
      <c r="W377" s="125">
        <v>3433</v>
      </c>
      <c r="X377" s="125">
        <v>2906</v>
      </c>
      <c r="Y377" s="125">
        <v>21687</v>
      </c>
      <c r="Z377" s="125">
        <v>21524</v>
      </c>
      <c r="AH377" s="259"/>
      <c r="AI377" s="259"/>
    </row>
    <row r="378" spans="2:35" x14ac:dyDescent="0.2">
      <c r="B378" s="125" t="s">
        <v>275</v>
      </c>
      <c r="C378" s="125">
        <f t="shared" si="20"/>
        <v>11775.857142857143</v>
      </c>
      <c r="D378" s="125">
        <f t="shared" si="20"/>
        <v>15635.285714285714</v>
      </c>
      <c r="E378" s="125">
        <f t="shared" si="21"/>
        <v>6817198.080000001</v>
      </c>
      <c r="F378" s="125">
        <f t="shared" si="22"/>
        <v>12720427.5</v>
      </c>
      <c r="G378" s="125">
        <f t="shared" si="23"/>
        <v>145815000</v>
      </c>
      <c r="H378" s="125">
        <v>5282</v>
      </c>
      <c r="I378" s="125">
        <v>135089</v>
      </c>
      <c r="J378" s="125">
        <v>5444</v>
      </c>
      <c r="K378" s="125">
        <v>10956</v>
      </c>
      <c r="L378" s="125">
        <v>13870</v>
      </c>
      <c r="M378" s="125">
        <v>28717</v>
      </c>
      <c r="N378" s="125">
        <v>44179</v>
      </c>
      <c r="O378" s="125">
        <v>13262</v>
      </c>
      <c r="P378" s="125">
        <v>15110</v>
      </c>
      <c r="Q378" s="125">
        <v>5344</v>
      </c>
      <c r="R378" s="125">
        <v>5918</v>
      </c>
      <c r="S378" s="125">
        <v>5755</v>
      </c>
      <c r="T378" s="125">
        <v>8520</v>
      </c>
      <c r="U378" s="125">
        <v>4879</v>
      </c>
      <c r="V378" s="125">
        <v>6310</v>
      </c>
      <c r="W378" s="125">
        <v>13518</v>
      </c>
      <c r="X378" s="125">
        <v>15540</v>
      </c>
      <c r="Y378" s="125">
        <v>47318</v>
      </c>
      <c r="Z378" s="125">
        <v>47553</v>
      </c>
    </row>
    <row r="379" spans="2:35" x14ac:dyDescent="0.2">
      <c r="B379" s="125" t="s">
        <v>221</v>
      </c>
      <c r="C379" s="125">
        <f t="shared" ref="C379:D381" si="24">SUM(K379,M379,O379,Q379,S379,U379,W379)/7</f>
        <v>5771.7142857142853</v>
      </c>
      <c r="D379" s="125">
        <f t="shared" si="24"/>
        <v>7483</v>
      </c>
      <c r="E379" s="125">
        <f>Z379*143.36</f>
        <v>3221012.4800000004</v>
      </c>
      <c r="F379" s="125">
        <f>Z379*$AB$3</f>
        <v>6010190</v>
      </c>
      <c r="G379" s="125">
        <f t="shared" si="23"/>
        <v>61025000</v>
      </c>
      <c r="H379" s="125">
        <v>136</v>
      </c>
      <c r="I379" s="125">
        <v>60523</v>
      </c>
      <c r="J379" s="125">
        <v>366</v>
      </c>
      <c r="K379" s="125">
        <v>5359</v>
      </c>
      <c r="L379" s="125">
        <v>5740</v>
      </c>
      <c r="M379" s="125">
        <v>4244</v>
      </c>
      <c r="N379" s="125">
        <v>10686</v>
      </c>
      <c r="O379" s="125">
        <v>6642</v>
      </c>
      <c r="P379" s="125">
        <v>8018</v>
      </c>
      <c r="Q379" s="125">
        <v>3776</v>
      </c>
      <c r="R379" s="125">
        <v>5831</v>
      </c>
      <c r="S379" s="125">
        <v>6246</v>
      </c>
      <c r="T379" s="125">
        <v>11370</v>
      </c>
      <c r="U379" s="125">
        <v>5631</v>
      </c>
      <c r="V379" s="125">
        <v>5447</v>
      </c>
      <c r="W379" s="125">
        <v>8504</v>
      </c>
      <c r="X379" s="125">
        <v>5289</v>
      </c>
      <c r="Y379" s="125">
        <v>22308</v>
      </c>
      <c r="Z379" s="125">
        <v>22468</v>
      </c>
    </row>
    <row r="380" spans="2:35" x14ac:dyDescent="0.2">
      <c r="B380" s="125" t="s">
        <v>402</v>
      </c>
      <c r="C380" s="125">
        <f t="shared" si="24"/>
        <v>7447.7142857142853</v>
      </c>
      <c r="D380" s="125">
        <f t="shared" si="24"/>
        <v>9290.7142857142862</v>
      </c>
      <c r="E380" s="125">
        <f>Z380*143.36</f>
        <v>6389698.5600000005</v>
      </c>
      <c r="F380" s="125">
        <f>Z380*$AB$3</f>
        <v>11922742.5</v>
      </c>
      <c r="G380" s="125">
        <f t="shared" si="23"/>
        <v>152244000</v>
      </c>
      <c r="H380" s="125">
        <v>244</v>
      </c>
      <c r="I380" s="125">
        <v>150388</v>
      </c>
      <c r="J380" s="125">
        <v>1612</v>
      </c>
      <c r="K380" s="125">
        <v>10725</v>
      </c>
      <c r="L380" s="125">
        <v>14731</v>
      </c>
      <c r="M380" s="125">
        <v>5739</v>
      </c>
      <c r="N380" s="125">
        <v>12824</v>
      </c>
      <c r="O380" s="125">
        <v>3946</v>
      </c>
      <c r="P380" s="125">
        <v>7387</v>
      </c>
      <c r="Q380" s="125">
        <v>17378</v>
      </c>
      <c r="R380" s="125">
        <v>15911</v>
      </c>
      <c r="S380" s="125">
        <v>6786</v>
      </c>
      <c r="T380" s="125">
        <v>5800</v>
      </c>
      <c r="U380" s="125">
        <v>5003</v>
      </c>
      <c r="V380" s="125">
        <v>3867</v>
      </c>
      <c r="W380" s="125">
        <v>2557</v>
      </c>
      <c r="X380" s="125">
        <v>4515</v>
      </c>
      <c r="Y380" s="125">
        <v>44423</v>
      </c>
      <c r="Z380" s="125">
        <v>44571</v>
      </c>
    </row>
    <row r="381" spans="2:35" x14ac:dyDescent="0.2">
      <c r="B381" s="125" t="s">
        <v>222</v>
      </c>
      <c r="C381" s="125">
        <f t="shared" si="24"/>
        <v>42214.714285714283</v>
      </c>
      <c r="D381" s="125">
        <f t="shared" si="24"/>
        <v>39294.428571428572</v>
      </c>
      <c r="E381" s="125">
        <f>Z381*143.36</f>
        <v>18086010.880000003</v>
      </c>
      <c r="F381" s="125">
        <f>Z381*$AB$3</f>
        <v>33747265</v>
      </c>
      <c r="G381" s="125">
        <f t="shared" si="23"/>
        <v>348386000</v>
      </c>
      <c r="H381" s="125">
        <v>4560</v>
      </c>
      <c r="I381" s="125">
        <v>342529</v>
      </c>
      <c r="J381" s="125">
        <v>1297</v>
      </c>
      <c r="K381" s="125">
        <v>53215</v>
      </c>
      <c r="L381" s="125">
        <v>50460</v>
      </c>
      <c r="M381" s="125">
        <v>40734</v>
      </c>
      <c r="N381" s="125">
        <v>38508</v>
      </c>
      <c r="O381" s="125">
        <v>44816</v>
      </c>
      <c r="P381" s="125">
        <v>44802</v>
      </c>
      <c r="Q381" s="125">
        <v>50180</v>
      </c>
      <c r="R381" s="125">
        <v>58652</v>
      </c>
      <c r="S381" s="125">
        <v>33211</v>
      </c>
      <c r="T381" s="125">
        <v>37792</v>
      </c>
      <c r="U381" s="125">
        <v>36542</v>
      </c>
      <c r="V381" s="125">
        <v>25666</v>
      </c>
      <c r="W381" s="125">
        <v>36805</v>
      </c>
      <c r="X381" s="125">
        <v>19181</v>
      </c>
      <c r="Y381" s="125">
        <v>125525</v>
      </c>
      <c r="Z381" s="125">
        <v>126158</v>
      </c>
    </row>
    <row r="382" spans="2:35" x14ac:dyDescent="0.2">
      <c r="B382" s="125" t="s">
        <v>527</v>
      </c>
      <c r="C382" s="125">
        <f t="shared" ref="C382:Y382" si="25">SUM(C2:C381)</f>
        <v>6062745.996704339</v>
      </c>
      <c r="D382" s="125">
        <f t="shared" si="25"/>
        <v>6418775.1584642138</v>
      </c>
      <c r="E382" s="125">
        <f t="shared" si="25"/>
        <v>2463499673.6000023</v>
      </c>
      <c r="F382" s="125">
        <f t="shared" si="25"/>
        <v>4596722675</v>
      </c>
      <c r="G382" s="125">
        <f t="shared" si="25"/>
        <v>56998346000</v>
      </c>
      <c r="H382" s="125">
        <f t="shared" si="25"/>
        <v>733558</v>
      </c>
      <c r="I382" s="125">
        <f t="shared" si="25"/>
        <v>54185111</v>
      </c>
      <c r="J382" s="125">
        <f t="shared" si="25"/>
        <v>2079677</v>
      </c>
      <c r="K382" s="125">
        <f t="shared" si="25"/>
        <v>7171187.9999999991</v>
      </c>
      <c r="L382" s="125">
        <f t="shared" si="25"/>
        <v>7894402.9317559535</v>
      </c>
      <c r="M382" s="125">
        <f t="shared" si="25"/>
        <v>6991979.9999999991</v>
      </c>
      <c r="N382" s="125">
        <f t="shared" si="25"/>
        <v>7895087</v>
      </c>
      <c r="O382" s="125">
        <f t="shared" si="25"/>
        <v>6248135</v>
      </c>
      <c r="P382" s="125">
        <f t="shared" si="25"/>
        <v>7354978.9999999991</v>
      </c>
      <c r="Q382" s="125">
        <f t="shared" si="25"/>
        <v>5555223.3649303764</v>
      </c>
      <c r="R382" s="125">
        <f t="shared" si="25"/>
        <v>5781548.1374935536</v>
      </c>
      <c r="S382" s="125">
        <f t="shared" si="25"/>
        <v>5429693</v>
      </c>
      <c r="T382" s="125">
        <f t="shared" si="25"/>
        <v>5847119.9999999991</v>
      </c>
      <c r="U382" s="125">
        <f t="shared" si="25"/>
        <v>6065252.6119999997</v>
      </c>
      <c r="V382" s="125">
        <f t="shared" si="25"/>
        <v>5596379.040000001</v>
      </c>
      <c r="W382" s="125">
        <f t="shared" si="25"/>
        <v>4977750</v>
      </c>
      <c r="X382" s="125">
        <f t="shared" si="25"/>
        <v>4561910</v>
      </c>
      <c r="Y382" s="125">
        <f t="shared" si="25"/>
        <v>17089690</v>
      </c>
      <c r="Z382" s="125">
        <v>17184010</v>
      </c>
    </row>
    <row r="384" spans="2:35" x14ac:dyDescent="0.2">
      <c r="B384" s="125" t="s">
        <v>176</v>
      </c>
      <c r="C384" s="125">
        <f>SUM(K384,M384,O384,Q384,S384,U384,W384)/7</f>
        <v>540.57142857142856</v>
      </c>
      <c r="D384" s="125">
        <f>SUM(L384,N384,P384,R384,T384,V384,X384)/7</f>
        <v>1099</v>
      </c>
      <c r="E384" s="125">
        <f>Z384*143.36</f>
        <v>2272112.6400000001</v>
      </c>
      <c r="F384" s="125">
        <f>Z384*$AB$3</f>
        <v>4239607.5</v>
      </c>
      <c r="K384" s="125">
        <v>273</v>
      </c>
      <c r="L384" s="125">
        <v>258</v>
      </c>
      <c r="M384" s="125">
        <v>1496</v>
      </c>
      <c r="N384" s="125">
        <v>4432</v>
      </c>
      <c r="O384" s="125">
        <v>907</v>
      </c>
      <c r="P384" s="125">
        <v>1670</v>
      </c>
      <c r="Q384" s="125">
        <v>470</v>
      </c>
      <c r="R384" s="125">
        <v>670</v>
      </c>
      <c r="S384" s="125">
        <v>310</v>
      </c>
      <c r="T384" s="125">
        <v>258</v>
      </c>
      <c r="U384" s="125">
        <v>183</v>
      </c>
      <c r="V384" s="125">
        <v>262</v>
      </c>
      <c r="W384" s="125">
        <v>145</v>
      </c>
      <c r="X384" s="125">
        <v>143</v>
      </c>
      <c r="Y384" s="125">
        <v>15937</v>
      </c>
      <c r="Z384" s="125">
        <v>15849</v>
      </c>
    </row>
    <row r="385" spans="2:26" x14ac:dyDescent="0.2">
      <c r="B385" s="125" t="s">
        <v>158</v>
      </c>
      <c r="C385" s="125">
        <f>SUM(K385,M385,O385,Q385,S385,U385,W385)/7</f>
        <v>14.857142857142858</v>
      </c>
      <c r="D385" s="125">
        <f>SUM(L385,N385,P385,R385,T385,V385,X385)/7</f>
        <v>14.857142857142858</v>
      </c>
      <c r="E385" s="125">
        <f>Z385*143.36</f>
        <v>1262284.8</v>
      </c>
      <c r="F385" s="125">
        <f>Z385*$AB$3</f>
        <v>2355337.5</v>
      </c>
      <c r="K385" s="125">
        <v>0</v>
      </c>
      <c r="L385" s="125">
        <v>0</v>
      </c>
      <c r="M385" s="125">
        <v>104</v>
      </c>
      <c r="N385" s="125">
        <v>104</v>
      </c>
      <c r="O385" s="125">
        <v>0</v>
      </c>
      <c r="P385" s="125">
        <v>0</v>
      </c>
      <c r="Q385" s="125">
        <v>0</v>
      </c>
      <c r="R385" s="125">
        <v>0</v>
      </c>
      <c r="S385" s="125">
        <v>0</v>
      </c>
      <c r="T385" s="125">
        <v>0</v>
      </c>
      <c r="U385" s="125">
        <v>0</v>
      </c>
      <c r="V385" s="125">
        <v>0</v>
      </c>
      <c r="W385" s="125">
        <v>0</v>
      </c>
      <c r="X385" s="125">
        <v>0</v>
      </c>
      <c r="Y385" s="125">
        <v>8920</v>
      </c>
      <c r="Z385" s="125">
        <v>8805</v>
      </c>
    </row>
    <row r="386" spans="2:26" x14ac:dyDescent="0.2">
      <c r="B386" s="125" t="s">
        <v>821</v>
      </c>
      <c r="C386" s="125">
        <f>SUM(C384:C385)</f>
        <v>555.42857142857144</v>
      </c>
      <c r="D386" s="125">
        <f t="shared" ref="D386:Z386" si="26">SUM(D384:D385)</f>
        <v>1113.8571428571429</v>
      </c>
      <c r="E386" s="125">
        <f t="shared" si="26"/>
        <v>3534397.4400000004</v>
      </c>
      <c r="F386" s="125">
        <f t="shared" si="26"/>
        <v>6594945</v>
      </c>
      <c r="K386" s="125">
        <f t="shared" si="26"/>
        <v>273</v>
      </c>
      <c r="L386" s="125">
        <f t="shared" si="26"/>
        <v>258</v>
      </c>
      <c r="M386" s="125">
        <f t="shared" si="26"/>
        <v>1600</v>
      </c>
      <c r="N386" s="125">
        <f t="shared" si="26"/>
        <v>4536</v>
      </c>
      <c r="O386" s="125">
        <f t="shared" si="26"/>
        <v>907</v>
      </c>
      <c r="P386" s="125">
        <f t="shared" si="26"/>
        <v>1670</v>
      </c>
      <c r="Q386" s="125">
        <f t="shared" si="26"/>
        <v>470</v>
      </c>
      <c r="R386" s="125">
        <f t="shared" si="26"/>
        <v>670</v>
      </c>
      <c r="S386" s="125">
        <f t="shared" si="26"/>
        <v>310</v>
      </c>
      <c r="T386" s="125">
        <f t="shared" si="26"/>
        <v>258</v>
      </c>
      <c r="U386" s="125">
        <f t="shared" si="26"/>
        <v>183</v>
      </c>
      <c r="V386" s="125">
        <f t="shared" si="26"/>
        <v>262</v>
      </c>
      <c r="W386" s="125">
        <f t="shared" si="26"/>
        <v>145</v>
      </c>
      <c r="X386" s="125">
        <f t="shared" si="26"/>
        <v>143</v>
      </c>
      <c r="Y386" s="125">
        <f t="shared" si="26"/>
        <v>24857</v>
      </c>
      <c r="Z386" s="125">
        <f t="shared" si="26"/>
        <v>24654</v>
      </c>
    </row>
    <row r="389" spans="2:26" x14ac:dyDescent="0.2">
      <c r="B389" s="125" t="s">
        <v>189</v>
      </c>
      <c r="C389" s="125">
        <v>664.14285714285711</v>
      </c>
      <c r="D389" s="125">
        <v>733.28571428571433</v>
      </c>
      <c r="E389" s="125">
        <v>1532661.7600000002</v>
      </c>
      <c r="F389" s="125">
        <v>2859842.5</v>
      </c>
      <c r="K389" s="125">
        <v>1006</v>
      </c>
      <c r="L389" s="125">
        <v>1048</v>
      </c>
      <c r="M389" s="125">
        <v>508</v>
      </c>
      <c r="N389" s="125">
        <v>634</v>
      </c>
      <c r="O389" s="125">
        <v>465</v>
      </c>
      <c r="P389" s="125">
        <v>506</v>
      </c>
      <c r="Q389" s="125">
        <v>477</v>
      </c>
      <c r="R389" s="125">
        <v>568</v>
      </c>
      <c r="S389" s="125">
        <v>538</v>
      </c>
      <c r="T389" s="125">
        <v>604</v>
      </c>
      <c r="U389" s="125">
        <v>966</v>
      </c>
      <c r="V389" s="125">
        <v>1026</v>
      </c>
      <c r="W389" s="125">
        <v>689</v>
      </c>
      <c r="X389" s="125">
        <v>747</v>
      </c>
      <c r="Y389" s="125">
        <v>10740</v>
      </c>
      <c r="Z389" s="125">
        <v>10691</v>
      </c>
    </row>
    <row r="390" spans="2:26" x14ac:dyDescent="0.2">
      <c r="B390" s="125" t="s">
        <v>189</v>
      </c>
      <c r="C390" s="125">
        <f>C389*1929/10878</f>
        <v>117.77271294618232</v>
      </c>
      <c r="D390" s="125">
        <f t="shared" ref="D390:Z390" si="27">D389*1929/10878</f>
        <v>130.03384288078166</v>
      </c>
      <c r="E390" s="125">
        <f t="shared" si="27"/>
        <v>271787.51011583017</v>
      </c>
      <c r="F390" s="125">
        <f t="shared" si="27"/>
        <v>507136.99048538331</v>
      </c>
      <c r="K390" s="125">
        <f t="shared" si="27"/>
        <v>178.39437396580254</v>
      </c>
      <c r="L390" s="125">
        <f t="shared" si="27"/>
        <v>185.84225041367898</v>
      </c>
      <c r="M390" s="125">
        <f t="shared" si="27"/>
        <v>90.083838940981792</v>
      </c>
      <c r="N390" s="125">
        <f t="shared" si="27"/>
        <v>112.42746828461114</v>
      </c>
      <c r="O390" s="125">
        <f t="shared" si="27"/>
        <v>82.458632101489243</v>
      </c>
      <c r="P390" s="125">
        <f t="shared" si="27"/>
        <v>89.729178157749587</v>
      </c>
      <c r="Q390" s="125">
        <f t="shared" si="27"/>
        <v>84.586596800882518</v>
      </c>
      <c r="R390" s="125">
        <f t="shared" si="27"/>
        <v>100.72366243794815</v>
      </c>
      <c r="S390" s="125">
        <f t="shared" si="27"/>
        <v>95.403750689464971</v>
      </c>
      <c r="T390" s="125">
        <f t="shared" si="27"/>
        <v>107.10755653612796</v>
      </c>
      <c r="U390" s="125">
        <f t="shared" si="27"/>
        <v>171.3011583011583</v>
      </c>
      <c r="V390" s="125">
        <f t="shared" si="27"/>
        <v>181.94098179812465</v>
      </c>
      <c r="W390" s="125">
        <f t="shared" si="27"/>
        <v>122.18063982349696</v>
      </c>
      <c r="X390" s="125">
        <f t="shared" si="27"/>
        <v>132.4658025372311</v>
      </c>
      <c r="Y390" s="125">
        <f t="shared" si="27"/>
        <v>1904.5284059569774</v>
      </c>
      <c r="Z390" s="125">
        <f t="shared" si="27"/>
        <v>1895.8392167677882</v>
      </c>
    </row>
    <row r="391" spans="2:26" x14ac:dyDescent="0.2">
      <c r="B391" s="125" t="s">
        <v>190</v>
      </c>
      <c r="C391" s="125">
        <f t="shared" ref="C391:D393" si="28">SUM(K391,M391,O391,Q391,S391,U391,W391)/7</f>
        <v>790</v>
      </c>
      <c r="D391" s="125">
        <f t="shared" si="28"/>
        <v>828.14285714285711</v>
      </c>
      <c r="E391" s="125">
        <f>Z391*143.36</f>
        <v>1926328.3200000003</v>
      </c>
      <c r="F391" s="125">
        <f>Z391*$AB$3</f>
        <v>3594397.5</v>
      </c>
      <c r="K391" s="125">
        <v>1081</v>
      </c>
      <c r="L391" s="125">
        <v>1133</v>
      </c>
      <c r="M391" s="125">
        <v>433</v>
      </c>
      <c r="N391" s="125">
        <v>467</v>
      </c>
      <c r="O391" s="125">
        <v>2070</v>
      </c>
      <c r="P391" s="125">
        <v>2026</v>
      </c>
      <c r="Q391" s="125">
        <v>1644</v>
      </c>
      <c r="R391" s="125">
        <v>1664</v>
      </c>
      <c r="S391" s="125">
        <v>162</v>
      </c>
      <c r="T391" s="125">
        <v>187</v>
      </c>
      <c r="U391" s="125">
        <v>139</v>
      </c>
      <c r="V391" s="125">
        <v>168</v>
      </c>
      <c r="W391" s="125">
        <v>1</v>
      </c>
      <c r="X391" s="125">
        <v>152</v>
      </c>
      <c r="Y391" s="125">
        <v>13452</v>
      </c>
      <c r="Z391" s="125">
        <v>13437</v>
      </c>
    </row>
    <row r="392" spans="2:26" x14ac:dyDescent="0.2">
      <c r="B392" s="125" t="s">
        <v>184</v>
      </c>
      <c r="C392" s="125">
        <f t="shared" si="28"/>
        <v>3955.2857142857142</v>
      </c>
      <c r="D392" s="125">
        <f t="shared" si="28"/>
        <v>4492.5714285714284</v>
      </c>
      <c r="E392" s="125">
        <f>Z392*143.36</f>
        <v>2898452.4800000004</v>
      </c>
      <c r="F392" s="125">
        <f>Z392*$AB$3</f>
        <v>5408315</v>
      </c>
      <c r="K392" s="125">
        <v>4372</v>
      </c>
      <c r="L392" s="125">
        <v>4863</v>
      </c>
      <c r="M392" s="125">
        <v>2119</v>
      </c>
      <c r="N392" s="125">
        <v>2700</v>
      </c>
      <c r="O392" s="125">
        <v>2280</v>
      </c>
      <c r="P392" s="125">
        <v>2663</v>
      </c>
      <c r="Q392" s="125">
        <v>2847</v>
      </c>
      <c r="R392" s="125">
        <v>6729</v>
      </c>
      <c r="S392" s="125">
        <v>1195</v>
      </c>
      <c r="T392" s="125">
        <v>2138</v>
      </c>
      <c r="U392" s="125">
        <v>4190</v>
      </c>
      <c r="V392" s="125">
        <v>3808</v>
      </c>
      <c r="W392" s="125">
        <v>10684</v>
      </c>
      <c r="X392" s="125">
        <v>8547</v>
      </c>
      <c r="Y392" s="125">
        <v>20211</v>
      </c>
      <c r="Z392" s="125">
        <v>20218</v>
      </c>
    </row>
    <row r="393" spans="2:26" x14ac:dyDescent="0.2">
      <c r="B393" s="125" t="s">
        <v>522</v>
      </c>
      <c r="C393" s="125">
        <f t="shared" si="28"/>
        <v>236.42857142857142</v>
      </c>
      <c r="D393" s="125">
        <f t="shared" si="28"/>
        <v>301.42857142857144</v>
      </c>
      <c r="E393" s="125">
        <f>Z393*143.36</f>
        <v>1509580.8</v>
      </c>
      <c r="F393" s="125">
        <f>Z393*$AB$3</f>
        <v>2816775</v>
      </c>
      <c r="K393" s="125">
        <v>10</v>
      </c>
      <c r="L393" s="125">
        <v>38</v>
      </c>
      <c r="M393" s="125">
        <v>6</v>
      </c>
      <c r="N393" s="125">
        <v>52</v>
      </c>
      <c r="O393" s="125">
        <v>323</v>
      </c>
      <c r="P393" s="125">
        <v>378</v>
      </c>
      <c r="Q393" s="125">
        <v>217</v>
      </c>
      <c r="R393" s="125">
        <v>335</v>
      </c>
      <c r="S393" s="125">
        <v>322</v>
      </c>
      <c r="T393" s="125">
        <v>352</v>
      </c>
      <c r="U393" s="125">
        <v>154</v>
      </c>
      <c r="V393" s="125">
        <v>265</v>
      </c>
      <c r="W393" s="125">
        <v>623</v>
      </c>
      <c r="X393" s="125">
        <v>690</v>
      </c>
      <c r="Y393" s="125">
        <v>10490</v>
      </c>
      <c r="Z393" s="125">
        <v>10530</v>
      </c>
    </row>
    <row r="394" spans="2:26" ht="10.15" customHeight="1" x14ac:dyDescent="0.2">
      <c r="B394" s="125" t="s">
        <v>820</v>
      </c>
      <c r="C394" s="125">
        <f>SUM(C390:C393)</f>
        <v>5099.4869986604681</v>
      </c>
      <c r="D394" s="125">
        <f t="shared" ref="D394:Z394" si="29">SUM(D390:D393)</f>
        <v>5752.1767000236387</v>
      </c>
      <c r="E394" s="125">
        <f t="shared" si="29"/>
        <v>6606149.1101158308</v>
      </c>
      <c r="F394" s="125">
        <f t="shared" si="29"/>
        <v>12326624.490485383</v>
      </c>
      <c r="K394" s="125">
        <f t="shared" si="29"/>
        <v>5641.3943739658025</v>
      </c>
      <c r="L394" s="125">
        <f t="shared" si="29"/>
        <v>6219.8422504136788</v>
      </c>
      <c r="M394" s="125">
        <f t="shared" si="29"/>
        <v>2648.0838389409819</v>
      </c>
      <c r="N394" s="125">
        <f t="shared" si="29"/>
        <v>3331.4274682846112</v>
      </c>
      <c r="O394" s="125">
        <f t="shared" si="29"/>
        <v>4755.4586321014895</v>
      </c>
      <c r="P394" s="125">
        <f t="shared" si="29"/>
        <v>5156.7291781577496</v>
      </c>
      <c r="Q394" s="125">
        <f t="shared" si="29"/>
        <v>4792.586596800882</v>
      </c>
      <c r="R394" s="125">
        <f t="shared" si="29"/>
        <v>8828.7236624379475</v>
      </c>
      <c r="S394" s="125">
        <f t="shared" si="29"/>
        <v>1774.4037506894649</v>
      </c>
      <c r="T394" s="125">
        <f t="shared" si="29"/>
        <v>2784.107556536128</v>
      </c>
      <c r="U394" s="125">
        <f t="shared" si="29"/>
        <v>4654.3011583011585</v>
      </c>
      <c r="V394" s="125">
        <f t="shared" si="29"/>
        <v>4422.940981798125</v>
      </c>
      <c r="W394" s="125">
        <f t="shared" si="29"/>
        <v>11430.180639823497</v>
      </c>
      <c r="X394" s="125">
        <f t="shared" si="29"/>
        <v>9521.4658025372319</v>
      </c>
      <c r="Y394" s="125">
        <f t="shared" si="29"/>
        <v>46057.528405956975</v>
      </c>
      <c r="Z394" s="125">
        <f t="shared" si="29"/>
        <v>46080.839216767788</v>
      </c>
    </row>
    <row r="396" spans="2:26" x14ac:dyDescent="0.2">
      <c r="B396" s="125" t="s">
        <v>172</v>
      </c>
      <c r="C396" s="125">
        <f t="shared" ref="C396:D398" si="30">SUM(K396,M396,O396,Q396,S396,U396,W396)/7</f>
        <v>2184.8571428571427</v>
      </c>
      <c r="D396" s="125">
        <f t="shared" si="30"/>
        <v>2221.5714285714284</v>
      </c>
      <c r="E396" s="125">
        <f>Z396*143.36</f>
        <v>2119434.2400000002</v>
      </c>
      <c r="F396" s="125">
        <f>Z396*$AB$3</f>
        <v>3954720</v>
      </c>
      <c r="K396" s="125">
        <v>5495</v>
      </c>
      <c r="L396" s="125">
        <v>3540</v>
      </c>
      <c r="M396" s="125">
        <v>4012</v>
      </c>
      <c r="N396" s="125">
        <v>4011</v>
      </c>
      <c r="O396" s="125">
        <v>943</v>
      </c>
      <c r="P396" s="125">
        <v>1072</v>
      </c>
      <c r="Q396" s="125">
        <v>1714</v>
      </c>
      <c r="R396" s="125">
        <v>2444</v>
      </c>
      <c r="S396" s="125">
        <v>1795</v>
      </c>
      <c r="T396" s="125">
        <v>2285</v>
      </c>
      <c r="U396" s="125">
        <v>831</v>
      </c>
      <c r="V396" s="125">
        <v>1034</v>
      </c>
      <c r="W396" s="125">
        <v>504</v>
      </c>
      <c r="X396" s="125">
        <v>1165</v>
      </c>
      <c r="Y396" s="125">
        <v>15768</v>
      </c>
      <c r="Z396" s="125">
        <v>14784</v>
      </c>
    </row>
    <row r="397" spans="2:26" x14ac:dyDescent="0.2">
      <c r="B397" s="125" t="s">
        <v>165</v>
      </c>
      <c r="C397" s="125">
        <f t="shared" si="30"/>
        <v>6546.5714285714284</v>
      </c>
      <c r="D397" s="125">
        <f t="shared" si="30"/>
        <v>9583.7142857142862</v>
      </c>
      <c r="E397" s="125">
        <f>Z397*143.36</f>
        <v>4897320.9600000009</v>
      </c>
      <c r="F397" s="125">
        <f>Z397*$AB$3</f>
        <v>9138067.5</v>
      </c>
      <c r="K397" s="125">
        <v>5945</v>
      </c>
      <c r="L397" s="125">
        <v>12995</v>
      </c>
      <c r="M397" s="125">
        <v>4792</v>
      </c>
      <c r="N397" s="125">
        <v>7356</v>
      </c>
      <c r="O397" s="125">
        <v>3681</v>
      </c>
      <c r="P397" s="125">
        <v>6806</v>
      </c>
      <c r="Q397" s="125">
        <v>5755</v>
      </c>
      <c r="R397" s="125">
        <v>6553</v>
      </c>
      <c r="S397" s="125">
        <v>17257</v>
      </c>
      <c r="T397" s="125">
        <v>19943</v>
      </c>
      <c r="U397" s="125">
        <v>6051</v>
      </c>
      <c r="V397" s="125">
        <v>6436</v>
      </c>
      <c r="W397" s="125">
        <v>2345</v>
      </c>
      <c r="X397" s="125">
        <v>6997</v>
      </c>
      <c r="Y397" s="125">
        <v>34232</v>
      </c>
      <c r="Z397" s="125">
        <v>34161</v>
      </c>
    </row>
    <row r="398" spans="2:26" x14ac:dyDescent="0.2">
      <c r="B398" s="125" t="s">
        <v>169</v>
      </c>
      <c r="C398" s="125">
        <f t="shared" si="30"/>
        <v>387.85714285714283</v>
      </c>
      <c r="D398" s="125">
        <f t="shared" si="30"/>
        <v>509.42857142857144</v>
      </c>
      <c r="E398" s="125">
        <f>Z398*143.36</f>
        <v>1721896.9600000002</v>
      </c>
      <c r="F398" s="125">
        <f>Z398*$AB$3</f>
        <v>3212942.5</v>
      </c>
      <c r="K398" s="125">
        <v>1035</v>
      </c>
      <c r="L398" s="125">
        <v>1038</v>
      </c>
      <c r="M398" s="125">
        <v>643</v>
      </c>
      <c r="N398" s="125">
        <v>652</v>
      </c>
      <c r="O398" s="125">
        <v>413</v>
      </c>
      <c r="P398" s="125">
        <v>418</v>
      </c>
      <c r="Q398" s="125">
        <v>215</v>
      </c>
      <c r="R398" s="125">
        <v>271</v>
      </c>
      <c r="S398" s="125">
        <v>112</v>
      </c>
      <c r="T398" s="125">
        <v>913</v>
      </c>
      <c r="U398" s="125">
        <v>78</v>
      </c>
      <c r="V398" s="125">
        <v>95</v>
      </c>
      <c r="W398" s="125">
        <v>219</v>
      </c>
      <c r="X398" s="125">
        <v>179</v>
      </c>
      <c r="Y398" s="125">
        <v>12168</v>
      </c>
      <c r="Z398" s="125">
        <v>12011</v>
      </c>
    </row>
    <row r="399" spans="2:26" x14ac:dyDescent="0.2">
      <c r="B399" s="125" t="s">
        <v>819</v>
      </c>
      <c r="C399" s="125">
        <f>SUM(C396:C398)</f>
        <v>9119.2857142857138</v>
      </c>
      <c r="D399" s="125">
        <f t="shared" ref="D399:W399" si="31">SUM(D396:D398)</f>
        <v>12314.714285714284</v>
      </c>
      <c r="E399" s="125">
        <f t="shared" si="31"/>
        <v>8738652.160000002</v>
      </c>
      <c r="F399" s="125">
        <f t="shared" si="31"/>
        <v>16305730</v>
      </c>
      <c r="K399" s="125">
        <f t="shared" si="31"/>
        <v>12475</v>
      </c>
      <c r="L399" s="125">
        <f t="shared" si="31"/>
        <v>17573</v>
      </c>
      <c r="M399" s="125">
        <f t="shared" si="31"/>
        <v>9447</v>
      </c>
      <c r="N399" s="125">
        <f t="shared" si="31"/>
        <v>12019</v>
      </c>
      <c r="O399" s="125">
        <f t="shared" si="31"/>
        <v>5037</v>
      </c>
      <c r="P399" s="125">
        <f t="shared" si="31"/>
        <v>8296</v>
      </c>
      <c r="Q399" s="125">
        <f t="shared" si="31"/>
        <v>7684</v>
      </c>
      <c r="R399" s="125">
        <f t="shared" si="31"/>
        <v>9268</v>
      </c>
      <c r="S399" s="125">
        <f t="shared" si="31"/>
        <v>19164</v>
      </c>
      <c r="T399" s="125">
        <f t="shared" si="31"/>
        <v>23141</v>
      </c>
      <c r="U399" s="125">
        <f t="shared" si="31"/>
        <v>6960</v>
      </c>
      <c r="V399" s="125">
        <f t="shared" si="31"/>
        <v>7565</v>
      </c>
      <c r="W399" s="125">
        <f t="shared" si="31"/>
        <v>3068</v>
      </c>
      <c r="X399" s="125">
        <f>SUM(X396:X398)</f>
        <v>8341</v>
      </c>
      <c r="Y399" s="125">
        <f>SUM(Y396:Y398)</f>
        <v>62168</v>
      </c>
      <c r="Z399" s="125">
        <f>SUM(Z396:Z398)</f>
        <v>60956</v>
      </c>
    </row>
    <row r="401" spans="2:26" x14ac:dyDescent="0.2">
      <c r="B401" s="125" t="s">
        <v>461</v>
      </c>
      <c r="C401" s="125">
        <v>4408.75</v>
      </c>
      <c r="D401" s="125">
        <v>3652</v>
      </c>
      <c r="E401" s="125">
        <f>C401*138.66</f>
        <v>611317.27500000002</v>
      </c>
      <c r="K401" s="125">
        <v>2947</v>
      </c>
      <c r="L401" s="125">
        <v>3230</v>
      </c>
      <c r="M401" s="125">
        <v>2318</v>
      </c>
      <c r="N401" s="125">
        <v>2506</v>
      </c>
      <c r="O401" s="125">
        <v>3490</v>
      </c>
      <c r="P401" s="125">
        <v>3730</v>
      </c>
      <c r="Q401" s="125">
        <v>4529</v>
      </c>
      <c r="R401" s="125">
        <v>5753</v>
      </c>
      <c r="S401" s="125">
        <v>4162</v>
      </c>
      <c r="T401" s="125">
        <v>4241</v>
      </c>
      <c r="U401" s="125">
        <v>8880000</v>
      </c>
      <c r="V401" s="125">
        <v>5142000</v>
      </c>
      <c r="Y401" s="125">
        <v>23624</v>
      </c>
    </row>
    <row r="402" spans="2:26" x14ac:dyDescent="0.2">
      <c r="B402" s="125" t="s">
        <v>463</v>
      </c>
      <c r="C402" s="125">
        <v>4585.5</v>
      </c>
      <c r="D402" s="125">
        <v>4338.75</v>
      </c>
      <c r="E402" s="125">
        <f>C402*138.66</f>
        <v>635825.42999999993</v>
      </c>
      <c r="K402" s="125">
        <v>5505</v>
      </c>
      <c r="L402" s="125">
        <v>4386</v>
      </c>
      <c r="M402" s="125">
        <v>5717</v>
      </c>
      <c r="N402" s="125">
        <v>5991</v>
      </c>
      <c r="O402" s="125">
        <v>6208</v>
      </c>
      <c r="P402" s="125">
        <v>5409</v>
      </c>
      <c r="Q402" s="125">
        <v>3240</v>
      </c>
      <c r="R402" s="125">
        <v>3764</v>
      </c>
      <c r="S402" s="125">
        <v>4987</v>
      </c>
      <c r="T402" s="125">
        <v>3844</v>
      </c>
      <c r="U402" s="125">
        <v>912000</v>
      </c>
      <c r="V402" s="125">
        <v>1569000</v>
      </c>
      <c r="Y402" s="125">
        <v>17907</v>
      </c>
    </row>
    <row r="403" spans="2:26" x14ac:dyDescent="0.2">
      <c r="B403" s="125" t="s">
        <v>470</v>
      </c>
      <c r="C403" s="125">
        <v>17649.5</v>
      </c>
      <c r="D403" s="125">
        <v>20549.25</v>
      </c>
      <c r="E403" s="125">
        <f>C403*138.66</f>
        <v>2447279.67</v>
      </c>
      <c r="K403" s="125">
        <v>32109</v>
      </c>
      <c r="L403" s="125">
        <v>32288</v>
      </c>
      <c r="M403" s="125">
        <v>22540</v>
      </c>
      <c r="N403" s="125">
        <v>22781</v>
      </c>
      <c r="O403" s="125">
        <v>7361</v>
      </c>
      <c r="P403" s="125">
        <v>17391</v>
      </c>
      <c r="Q403" s="125">
        <v>30633</v>
      </c>
      <c r="R403" s="125">
        <v>29346</v>
      </c>
      <c r="S403" s="125">
        <v>9529</v>
      </c>
      <c r="T403" s="125">
        <v>47537</v>
      </c>
      <c r="U403" s="125">
        <v>8588000</v>
      </c>
      <c r="V403" s="125">
        <v>9737000</v>
      </c>
      <c r="Y403" s="125">
        <v>38304</v>
      </c>
    </row>
    <row r="404" spans="2:26" x14ac:dyDescent="0.2">
      <c r="B404" s="125" t="s">
        <v>713</v>
      </c>
      <c r="C404" s="125">
        <v>26643.75</v>
      </c>
      <c r="D404" s="125">
        <v>28540</v>
      </c>
      <c r="E404" s="125">
        <f>C404*138.66</f>
        <v>3694422.375</v>
      </c>
      <c r="K404" s="125">
        <f>SUM(K401:K403)</f>
        <v>40561</v>
      </c>
      <c r="L404" s="125">
        <f t="shared" ref="L404:V404" si="32">SUM(L401:L403)</f>
        <v>39904</v>
      </c>
      <c r="M404" s="125">
        <f t="shared" si="32"/>
        <v>30575</v>
      </c>
      <c r="N404" s="125">
        <f t="shared" si="32"/>
        <v>31278</v>
      </c>
      <c r="O404" s="125">
        <f t="shared" si="32"/>
        <v>17059</v>
      </c>
      <c r="P404" s="125">
        <f t="shared" si="32"/>
        <v>26530</v>
      </c>
      <c r="Q404" s="125">
        <f t="shared" si="32"/>
        <v>38402</v>
      </c>
      <c r="R404" s="125">
        <f t="shared" si="32"/>
        <v>38863</v>
      </c>
      <c r="S404" s="125">
        <f t="shared" si="32"/>
        <v>18678</v>
      </c>
      <c r="T404" s="125">
        <f t="shared" si="32"/>
        <v>55622</v>
      </c>
      <c r="U404" s="125">
        <f t="shared" si="32"/>
        <v>18380000</v>
      </c>
      <c r="V404" s="125">
        <f t="shared" si="32"/>
        <v>16448000</v>
      </c>
      <c r="Y404" s="125">
        <v>79835</v>
      </c>
    </row>
    <row r="406" spans="2:26" x14ac:dyDescent="0.2">
      <c r="B406" s="125" t="s">
        <v>189</v>
      </c>
      <c r="C406" s="125">
        <v>664.14285714285711</v>
      </c>
      <c r="D406" s="125">
        <v>733.28571428571433</v>
      </c>
      <c r="E406" s="125">
        <v>1532661.7600000002</v>
      </c>
      <c r="F406" s="125">
        <v>2859842.5</v>
      </c>
      <c r="K406" s="125">
        <v>1006</v>
      </c>
      <c r="L406" s="125">
        <v>1048</v>
      </c>
      <c r="M406" s="125">
        <v>508</v>
      </c>
      <c r="N406" s="125">
        <v>634</v>
      </c>
      <c r="O406" s="125">
        <v>465</v>
      </c>
      <c r="P406" s="125">
        <v>506</v>
      </c>
      <c r="Q406" s="125">
        <v>477</v>
      </c>
      <c r="R406" s="125">
        <v>568</v>
      </c>
      <c r="S406" s="125">
        <v>538</v>
      </c>
      <c r="T406" s="125">
        <v>604</v>
      </c>
      <c r="U406" s="125">
        <v>966</v>
      </c>
      <c r="V406" s="125">
        <v>1026</v>
      </c>
      <c r="W406" s="125">
        <v>689</v>
      </c>
      <c r="X406" s="125">
        <v>747</v>
      </c>
      <c r="Y406" s="125">
        <v>10740</v>
      </c>
      <c r="Z406" s="125">
        <v>10691</v>
      </c>
    </row>
    <row r="407" spans="2:26" x14ac:dyDescent="0.2">
      <c r="B407" s="125" t="s">
        <v>189</v>
      </c>
      <c r="C407" s="125">
        <f>C406*3460/10878</f>
        <v>211.24602736847632</v>
      </c>
      <c r="D407" s="125">
        <f t="shared" ref="D407:Z407" si="33">D406*3460/10878</f>
        <v>233.23851548341347</v>
      </c>
      <c r="E407" s="125">
        <f t="shared" si="33"/>
        <v>487498.59253539256</v>
      </c>
      <c r="F407" s="125">
        <f t="shared" si="33"/>
        <v>909639.18459275598</v>
      </c>
      <c r="K407" s="125">
        <f t="shared" si="33"/>
        <v>319.98161426732855</v>
      </c>
      <c r="L407" s="125">
        <f t="shared" si="33"/>
        <v>333.34068762640192</v>
      </c>
      <c r="M407" s="125">
        <f t="shared" si="33"/>
        <v>161.58117300974445</v>
      </c>
      <c r="N407" s="125">
        <f t="shared" si="33"/>
        <v>201.65839308696451</v>
      </c>
      <c r="O407" s="125">
        <f t="shared" si="33"/>
        <v>147.90402647545505</v>
      </c>
      <c r="P407" s="125">
        <f t="shared" si="33"/>
        <v>160.94502665931236</v>
      </c>
      <c r="Q407" s="125">
        <f t="shared" si="33"/>
        <v>151.72090457804742</v>
      </c>
      <c r="R407" s="125">
        <f t="shared" si="33"/>
        <v>180.66556352270638</v>
      </c>
      <c r="S407" s="125">
        <f t="shared" si="33"/>
        <v>171.12336826622541</v>
      </c>
      <c r="T407" s="125">
        <f t="shared" si="33"/>
        <v>192.11619783048354</v>
      </c>
      <c r="U407" s="125">
        <f t="shared" si="33"/>
        <v>307.25868725868725</v>
      </c>
      <c r="V407" s="125">
        <f t="shared" si="33"/>
        <v>326.34307777164918</v>
      </c>
      <c r="W407" s="125">
        <f t="shared" si="33"/>
        <v>219.1524177238463</v>
      </c>
      <c r="X407" s="125">
        <f t="shared" si="33"/>
        <v>237.60066188637617</v>
      </c>
      <c r="Y407" s="125">
        <f t="shared" si="33"/>
        <v>3416.1059018201877</v>
      </c>
      <c r="Z407" s="125">
        <f t="shared" si="33"/>
        <v>3400.520316234602</v>
      </c>
    </row>
    <row r="408" spans="2:26" x14ac:dyDescent="0.2">
      <c r="B408" s="125" t="s">
        <v>188</v>
      </c>
      <c r="C408" s="125">
        <f>SUM(K408,M408,O408,Q408,S408,U408,W408)/7</f>
        <v>325.14285714285717</v>
      </c>
      <c r="D408" s="125">
        <f>SUM(L408,N408,P408,R408,T408,V408,X408)/7</f>
        <v>618.71428571428567</v>
      </c>
      <c r="E408" s="125">
        <f>Z408*143.36</f>
        <v>1446359.04</v>
      </c>
      <c r="F408" s="125">
        <f>Z408*$AB$3</f>
        <v>2698807.5</v>
      </c>
      <c r="K408" s="125">
        <v>450</v>
      </c>
      <c r="L408" s="125">
        <v>351</v>
      </c>
      <c r="M408" s="125">
        <v>384</v>
      </c>
      <c r="N408" s="125">
        <v>1489</v>
      </c>
      <c r="O408" s="125">
        <v>342</v>
      </c>
      <c r="P408" s="125">
        <v>553</v>
      </c>
      <c r="Q408" s="125">
        <v>241</v>
      </c>
      <c r="R408" s="125">
        <v>1135</v>
      </c>
      <c r="S408" s="125">
        <v>70</v>
      </c>
      <c r="T408" s="125">
        <v>121</v>
      </c>
      <c r="U408" s="125">
        <v>654</v>
      </c>
      <c r="V408" s="125">
        <v>520</v>
      </c>
      <c r="W408" s="125">
        <v>135</v>
      </c>
      <c r="X408" s="125">
        <v>162</v>
      </c>
      <c r="Y408" s="125">
        <v>10105</v>
      </c>
      <c r="Z408" s="125">
        <v>10089</v>
      </c>
    </row>
    <row r="409" spans="2:26" x14ac:dyDescent="0.2">
      <c r="B409" s="125" t="s">
        <v>187</v>
      </c>
      <c r="C409" s="125">
        <f>SUM(K409,M409,O409,Q409,S409,U409,W409)/7</f>
        <v>48223.809014333776</v>
      </c>
      <c r="D409" s="125">
        <f>SUM(L409,N409,P409,R409,T409,V409,X409)/7</f>
        <v>48827.431135644438</v>
      </c>
      <c r="E409" s="125">
        <f>Z409*143.36</f>
        <v>15613337.600000001</v>
      </c>
      <c r="F409" s="125">
        <f>Z409*$AB$3</f>
        <v>29133425</v>
      </c>
      <c r="K409" s="125">
        <v>49363.258046184841</v>
      </c>
      <c r="L409" s="125">
        <v>51347.577000568272</v>
      </c>
      <c r="M409" s="125">
        <v>76515.49458483755</v>
      </c>
      <c r="N409" s="125">
        <v>78887.961010830331</v>
      </c>
      <c r="O409" s="125">
        <v>86535.623517276952</v>
      </c>
      <c r="P409" s="125">
        <v>87515.149664775658</v>
      </c>
      <c r="Q409" s="125">
        <v>19680.286952037131</v>
      </c>
      <c r="R409" s="125">
        <v>18969.330273336771</v>
      </c>
      <c r="S409" s="125">
        <v>21493</v>
      </c>
      <c r="T409" s="125">
        <v>21764</v>
      </c>
      <c r="U409" s="125">
        <v>47785</v>
      </c>
      <c r="V409" s="125">
        <v>48099</v>
      </c>
      <c r="W409" s="125">
        <v>36194</v>
      </c>
      <c r="X409" s="125">
        <v>35209</v>
      </c>
      <c r="Y409" s="125">
        <v>108685</v>
      </c>
      <c r="Z409" s="125">
        <v>108910</v>
      </c>
    </row>
    <row r="410" spans="2:26" x14ac:dyDescent="0.2">
      <c r="B410" s="125" t="s">
        <v>187</v>
      </c>
      <c r="C410" s="125">
        <f>SUM(C407:C409)</f>
        <v>48760.197898845108</v>
      </c>
      <c r="D410" s="125">
        <f t="shared" ref="D410:Z410" si="34">SUM(D407:D409)</f>
        <v>49679.38393684214</v>
      </c>
      <c r="E410" s="125">
        <f t="shared" si="34"/>
        <v>17547195.232535396</v>
      </c>
      <c r="F410" s="125">
        <f t="shared" si="34"/>
        <v>32741871.684592757</v>
      </c>
      <c r="K410" s="125">
        <f t="shared" si="34"/>
        <v>50133.239660452171</v>
      </c>
      <c r="L410" s="125">
        <f t="shared" si="34"/>
        <v>52031.917688194677</v>
      </c>
      <c r="M410" s="125">
        <f t="shared" si="34"/>
        <v>77061.075757847299</v>
      </c>
      <c r="N410" s="125">
        <f t="shared" si="34"/>
        <v>80578.619403917299</v>
      </c>
      <c r="O410" s="125">
        <f t="shared" si="34"/>
        <v>87025.527543752411</v>
      </c>
      <c r="P410" s="125">
        <f t="shared" si="34"/>
        <v>88229.094691434977</v>
      </c>
      <c r="Q410" s="125">
        <f t="shared" si="34"/>
        <v>20073.007856615179</v>
      </c>
      <c r="R410" s="125">
        <f t="shared" si="34"/>
        <v>20284.995836859478</v>
      </c>
      <c r="S410" s="125">
        <f t="shared" si="34"/>
        <v>21734.123368266224</v>
      </c>
      <c r="T410" s="125">
        <f t="shared" si="34"/>
        <v>22077.116197830484</v>
      </c>
      <c r="U410" s="125">
        <f t="shared" si="34"/>
        <v>48746.258687258691</v>
      </c>
      <c r="V410" s="125">
        <f t="shared" si="34"/>
        <v>48945.343077771649</v>
      </c>
      <c r="W410" s="125">
        <f t="shared" si="34"/>
        <v>36548.152417723846</v>
      </c>
      <c r="X410" s="125">
        <f t="shared" si="34"/>
        <v>35608.600661886376</v>
      </c>
      <c r="Y410" s="125">
        <f t="shared" si="34"/>
        <v>122206.10590182019</v>
      </c>
      <c r="Z410" s="125">
        <f t="shared" si="34"/>
        <v>122399.5203162346</v>
      </c>
    </row>
    <row r="412" spans="2:26" x14ac:dyDescent="0.2">
      <c r="B412" s="125" t="s">
        <v>189</v>
      </c>
      <c r="C412" s="125">
        <f>SUM(K412,M412,O412,Q412,S412,U412,W412)/7</f>
        <v>664.14285714285711</v>
      </c>
      <c r="D412" s="125">
        <f>SUM(L412,N412,P412,R412,T412,V412,X412)/7</f>
        <v>733.28571428571433</v>
      </c>
      <c r="E412" s="125">
        <f>Z412*143.36</f>
        <v>1532661.7600000002</v>
      </c>
      <c r="F412" s="125">
        <f>Z412*$AB$3</f>
        <v>2859842.5</v>
      </c>
      <c r="K412" s="125">
        <v>1006</v>
      </c>
      <c r="L412" s="125">
        <v>1048</v>
      </c>
      <c r="M412" s="125">
        <v>508</v>
      </c>
      <c r="N412" s="125">
        <v>634</v>
      </c>
      <c r="O412" s="125">
        <v>465</v>
      </c>
      <c r="P412" s="125">
        <v>506</v>
      </c>
      <c r="Q412" s="125">
        <v>477</v>
      </c>
      <c r="R412" s="125">
        <v>568</v>
      </c>
      <c r="S412" s="125">
        <v>538</v>
      </c>
      <c r="T412" s="125">
        <v>604</v>
      </c>
      <c r="U412" s="125">
        <v>966</v>
      </c>
      <c r="V412" s="125">
        <v>1026</v>
      </c>
      <c r="W412" s="125">
        <v>689</v>
      </c>
      <c r="X412" s="125">
        <v>747</v>
      </c>
      <c r="Y412" s="125">
        <v>10740</v>
      </c>
      <c r="Z412" s="125">
        <v>10691</v>
      </c>
    </row>
    <row r="413" spans="2:26" x14ac:dyDescent="0.2">
      <c r="B413" s="125" t="s">
        <v>189</v>
      </c>
      <c r="C413" s="125">
        <f>C412*5489/10878</f>
        <v>335.12411682819845</v>
      </c>
      <c r="D413" s="125">
        <f t="shared" ref="D413:Z413" si="35">D412*5489/10878</f>
        <v>370.01335592151918</v>
      </c>
      <c r="E413" s="125">
        <f t="shared" si="35"/>
        <v>773375.65734877752</v>
      </c>
      <c r="F413" s="125">
        <f t="shared" si="35"/>
        <v>1443066.3249218606</v>
      </c>
      <c r="K413" s="125">
        <f t="shared" si="35"/>
        <v>507.62401176686893</v>
      </c>
      <c r="L413" s="125">
        <f t="shared" si="35"/>
        <v>528.8170619599191</v>
      </c>
      <c r="M413" s="125">
        <f t="shared" si="35"/>
        <v>256.33498804927376</v>
      </c>
      <c r="N413" s="125">
        <f t="shared" si="35"/>
        <v>319.91413862842433</v>
      </c>
      <c r="O413" s="125">
        <f t="shared" si="35"/>
        <v>234.63734142305572</v>
      </c>
      <c r="P413" s="125">
        <f t="shared" si="35"/>
        <v>255.32579518293804</v>
      </c>
      <c r="Q413" s="125">
        <f t="shared" si="35"/>
        <v>240.69249862107006</v>
      </c>
      <c r="R413" s="125">
        <f t="shared" si="35"/>
        <v>286.61077403934547</v>
      </c>
      <c r="S413" s="125">
        <f t="shared" si="35"/>
        <v>271.47288104430959</v>
      </c>
      <c r="T413" s="125">
        <f t="shared" si="35"/>
        <v>304.7762456333885</v>
      </c>
      <c r="U413" s="125">
        <f t="shared" si="35"/>
        <v>487.44015444015446</v>
      </c>
      <c r="V413" s="125">
        <f t="shared" si="35"/>
        <v>517.71594043022617</v>
      </c>
      <c r="W413" s="125">
        <f t="shared" si="35"/>
        <v>347.66694245265671</v>
      </c>
      <c r="X413" s="125">
        <f t="shared" si="35"/>
        <v>376.93353557639273</v>
      </c>
      <c r="Y413" s="125">
        <f t="shared" si="35"/>
        <v>5419.3656922228347</v>
      </c>
      <c r="Z413" s="125">
        <f t="shared" si="35"/>
        <v>5394.64046699761</v>
      </c>
    </row>
    <row r="414" spans="2:26" x14ac:dyDescent="0.2">
      <c r="B414" s="125" t="s">
        <v>525</v>
      </c>
      <c r="C414" s="125">
        <v>9902.8651792111395</v>
      </c>
      <c r="D414" s="125">
        <v>15760.269250296693</v>
      </c>
      <c r="E414" s="125">
        <v>12074496.000000002</v>
      </c>
      <c r="F414" s="125">
        <v>22530187.5</v>
      </c>
      <c r="K414" s="125">
        <v>18480.609323070035</v>
      </c>
      <c r="L414" s="125">
        <v>20621.586144547193</v>
      </c>
      <c r="M414" s="125">
        <v>14803.306859205775</v>
      </c>
      <c r="N414" s="125">
        <v>27058.609386281587</v>
      </c>
      <c r="O414" s="125">
        <v>11349.095925734915</v>
      </c>
      <c r="P414" s="125">
        <v>13208.099948427025</v>
      </c>
      <c r="Q414" s="125">
        <v>7067.0441464672513</v>
      </c>
      <c r="R414" s="125">
        <v>14595.589272821042</v>
      </c>
      <c r="S414" s="125">
        <v>4061</v>
      </c>
      <c r="T414" s="125">
        <v>10106</v>
      </c>
      <c r="U414" s="125">
        <v>7498</v>
      </c>
      <c r="V414" s="125">
        <v>14170</v>
      </c>
      <c r="W414" s="125">
        <v>6061</v>
      </c>
      <c r="X414" s="125">
        <v>10562</v>
      </c>
      <c r="Y414" s="125">
        <v>84167</v>
      </c>
      <c r="Z414" s="125">
        <v>84225</v>
      </c>
    </row>
    <row r="415" spans="2:26" x14ac:dyDescent="0.2">
      <c r="B415" s="125" t="s">
        <v>525</v>
      </c>
      <c r="C415" s="125">
        <f>SUM(C413:C414)</f>
        <v>10237.989296039337</v>
      </c>
      <c r="D415" s="125">
        <f t="shared" ref="D415:Z415" si="36">SUM(D413:D414)</f>
        <v>16130.282606218212</v>
      </c>
      <c r="E415" s="125">
        <f t="shared" si="36"/>
        <v>12847871.65734878</v>
      </c>
      <c r="F415" s="125">
        <f t="shared" si="36"/>
        <v>23973253.824921861</v>
      </c>
      <c r="K415" s="125">
        <f t="shared" si="36"/>
        <v>18988.233334836903</v>
      </c>
      <c r="L415" s="125">
        <f t="shared" si="36"/>
        <v>21150.403206507111</v>
      </c>
      <c r="M415" s="125">
        <f t="shared" si="36"/>
        <v>15059.641847255049</v>
      </c>
      <c r="N415" s="125">
        <f t="shared" si="36"/>
        <v>27378.523524910011</v>
      </c>
      <c r="O415" s="125">
        <f t="shared" si="36"/>
        <v>11583.733267157972</v>
      </c>
      <c r="P415" s="125">
        <f t="shared" si="36"/>
        <v>13463.425743609963</v>
      </c>
      <c r="Q415" s="125">
        <f t="shared" si="36"/>
        <v>7307.736645088321</v>
      </c>
      <c r="R415" s="125">
        <f t="shared" si="36"/>
        <v>14882.200046860387</v>
      </c>
      <c r="S415" s="125">
        <f t="shared" si="36"/>
        <v>4332.4728810443094</v>
      </c>
      <c r="T415" s="125">
        <f t="shared" si="36"/>
        <v>10410.776245633388</v>
      </c>
      <c r="U415" s="125">
        <f t="shared" si="36"/>
        <v>7985.4401544401544</v>
      </c>
      <c r="V415" s="125">
        <f t="shared" si="36"/>
        <v>14687.715940430226</v>
      </c>
      <c r="W415" s="125">
        <f t="shared" si="36"/>
        <v>6408.6669424526572</v>
      </c>
      <c r="X415" s="125">
        <f t="shared" si="36"/>
        <v>10938.933535576392</v>
      </c>
      <c r="Y415" s="125">
        <f t="shared" si="36"/>
        <v>89586.36569222284</v>
      </c>
      <c r="Z415" s="125">
        <f t="shared" si="36"/>
        <v>89619.640466997604</v>
      </c>
    </row>
    <row r="417" spans="2:26" x14ac:dyDescent="0.2">
      <c r="B417" s="125" t="s">
        <v>274</v>
      </c>
      <c r="C417" s="125">
        <f>SUM(K417,M417,O417,Q417,S417,U417,W417)/7</f>
        <v>11435</v>
      </c>
      <c r="D417" s="125">
        <f>SUM(L417,N417,P417,R417,T417,V417,X417)/7</f>
        <v>19145.571428571428</v>
      </c>
      <c r="E417" s="125">
        <f>Z417*143.36</f>
        <v>4670095.3600000003</v>
      </c>
      <c r="F417" s="125">
        <f>Z417*$AB$3</f>
        <v>8714080</v>
      </c>
      <c r="K417" s="125">
        <v>17190</v>
      </c>
      <c r="L417" s="125">
        <v>22599</v>
      </c>
      <c r="M417" s="125">
        <v>12782</v>
      </c>
      <c r="N417" s="125">
        <v>38470</v>
      </c>
      <c r="O417" s="125">
        <v>14513</v>
      </c>
      <c r="P417" s="125">
        <v>34764</v>
      </c>
      <c r="Q417" s="125">
        <v>6236</v>
      </c>
      <c r="R417" s="125">
        <v>6965</v>
      </c>
      <c r="S417" s="125">
        <v>8904</v>
      </c>
      <c r="T417" s="125">
        <v>12454</v>
      </c>
      <c r="U417" s="125">
        <v>8231</v>
      </c>
      <c r="V417" s="125">
        <v>7275</v>
      </c>
      <c r="W417" s="125">
        <v>12189</v>
      </c>
      <c r="X417" s="125">
        <v>11492</v>
      </c>
      <c r="Y417" s="125">
        <v>32374</v>
      </c>
      <c r="Z417" s="125">
        <v>32576</v>
      </c>
    </row>
    <row r="418" spans="2:26" x14ac:dyDescent="0.2">
      <c r="B418" s="125" t="s">
        <v>263</v>
      </c>
      <c r="C418" s="125">
        <f>SUM(K418,M418,O418,Q418,S418,U418,W418)/7</f>
        <v>490.42857142857144</v>
      </c>
      <c r="D418" s="125">
        <f>SUM(L418,N418,P418,R418,T418,V418,X418)/7</f>
        <v>589.85714285714289</v>
      </c>
      <c r="E418" s="125">
        <f>Z418*143.36</f>
        <v>1553305.6000000001</v>
      </c>
      <c r="F418" s="125">
        <f>Z418*$AB$3</f>
        <v>2898362.5</v>
      </c>
      <c r="K418" s="125">
        <v>954</v>
      </c>
      <c r="L418" s="125">
        <v>984</v>
      </c>
      <c r="M418" s="125">
        <v>983</v>
      </c>
      <c r="N418" s="125">
        <v>1217</v>
      </c>
      <c r="O418" s="125">
        <v>348</v>
      </c>
      <c r="P418" s="125">
        <v>744</v>
      </c>
      <c r="Q418" s="125">
        <v>242</v>
      </c>
      <c r="R418" s="125">
        <v>712</v>
      </c>
      <c r="S418" s="125">
        <v>238</v>
      </c>
      <c r="T418" s="125">
        <v>267</v>
      </c>
      <c r="U418" s="125">
        <v>568</v>
      </c>
      <c r="V418" s="125">
        <v>129</v>
      </c>
      <c r="W418" s="125">
        <v>100</v>
      </c>
      <c r="X418" s="125">
        <v>76</v>
      </c>
      <c r="Y418" s="125">
        <v>10848</v>
      </c>
      <c r="Z418" s="125">
        <v>10835</v>
      </c>
    </row>
    <row r="419" spans="2:26" x14ac:dyDescent="0.2">
      <c r="B419" s="125" t="s">
        <v>274</v>
      </c>
      <c r="C419" s="125">
        <f>SUM(C417:C418)</f>
        <v>11925.428571428571</v>
      </c>
      <c r="D419" s="125">
        <f t="shared" ref="D419:Z419" si="37">SUM(D417:D418)</f>
        <v>19735.428571428569</v>
      </c>
      <c r="E419" s="125">
        <f t="shared" si="37"/>
        <v>6223400.9600000009</v>
      </c>
      <c r="F419" s="125">
        <f t="shared" si="37"/>
        <v>11612442.5</v>
      </c>
      <c r="K419" s="125">
        <f t="shared" si="37"/>
        <v>18144</v>
      </c>
      <c r="L419" s="125">
        <f t="shared" si="37"/>
        <v>23583</v>
      </c>
      <c r="M419" s="125">
        <f t="shared" si="37"/>
        <v>13765</v>
      </c>
      <c r="N419" s="125">
        <f t="shared" si="37"/>
        <v>39687</v>
      </c>
      <c r="O419" s="125">
        <f t="shared" si="37"/>
        <v>14861</v>
      </c>
      <c r="P419" s="125">
        <f t="shared" si="37"/>
        <v>35508</v>
      </c>
      <c r="Q419" s="125">
        <f t="shared" si="37"/>
        <v>6478</v>
      </c>
      <c r="R419" s="125">
        <f t="shared" si="37"/>
        <v>7677</v>
      </c>
      <c r="S419" s="125">
        <f t="shared" si="37"/>
        <v>9142</v>
      </c>
      <c r="T419" s="125">
        <f t="shared" si="37"/>
        <v>12721</v>
      </c>
      <c r="U419" s="125">
        <f t="shared" si="37"/>
        <v>8799</v>
      </c>
      <c r="V419" s="125">
        <f t="shared" si="37"/>
        <v>7404</v>
      </c>
      <c r="W419" s="125">
        <f t="shared" si="37"/>
        <v>12289</v>
      </c>
      <c r="X419" s="125">
        <f t="shared" si="37"/>
        <v>11568</v>
      </c>
      <c r="Y419" s="125">
        <f t="shared" si="37"/>
        <v>43222</v>
      </c>
      <c r="Z419" s="125">
        <f t="shared" si="37"/>
        <v>43411</v>
      </c>
    </row>
  </sheetData>
  <sheetProtection algorithmName="SHA-512" hashValue="1pq66v0j1b4MnVQgzVcKjKr5pA4mZXxBOyJye+SklgFI9q4nv8UL+tutvS8WyxDtdrCkK+2y+33j0qBO2zJr9A==" saltValue="WVoQEQZSbgFaNsAyHeBn5Q==" spinCount="100000" sheet="1" objects="1" selectLockedCells="1" selectUnlockedCells="1"/>
  <pageMargins left="0.7" right="0.7" top="0.75" bottom="0.75" header="0.3" footer="0.3"/>
  <pageSetup paperSize="9" orientation="portrait" horizontalDpi="4294967293" verticalDpi="4294967293"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2"/>
  <sheetViews>
    <sheetView workbookViewId="0">
      <selection activeCell="C2" sqref="C2"/>
    </sheetView>
  </sheetViews>
  <sheetFormatPr defaultRowHeight="12.75" x14ac:dyDescent="0.2"/>
  <cols>
    <col min="1" max="1" width="10.5703125" bestFit="1" customWidth="1"/>
    <col min="2" max="2" width="29.85546875" bestFit="1" customWidth="1"/>
    <col min="3" max="3" width="24.140625" bestFit="1" customWidth="1"/>
    <col min="4" max="4" width="19.7109375" bestFit="1" customWidth="1"/>
    <col min="5" max="5" width="16.140625" bestFit="1" customWidth="1"/>
    <col min="6" max="6" width="12.7109375" bestFit="1" customWidth="1"/>
    <col min="7" max="7" width="14.28515625" bestFit="1" customWidth="1"/>
    <col min="8" max="8" width="12.5703125" bestFit="1" customWidth="1"/>
    <col min="9" max="9" width="15.5703125" bestFit="1" customWidth="1"/>
    <col min="10" max="10" width="14.28515625" bestFit="1" customWidth="1"/>
    <col min="11" max="11" width="17.5703125" bestFit="1" customWidth="1"/>
    <col min="12" max="12" width="16.85546875" bestFit="1" customWidth="1"/>
    <col min="13" max="13" width="20.85546875" bestFit="1" customWidth="1"/>
    <col min="14" max="14" width="15.7109375" bestFit="1" customWidth="1"/>
    <col min="15" max="15" width="19.42578125" bestFit="1" customWidth="1"/>
    <col min="16" max="17" width="12.7109375" bestFit="1" customWidth="1"/>
    <col min="18" max="18" width="26.7109375" bestFit="1" customWidth="1"/>
    <col min="19" max="19" width="12.7109375" bestFit="1" customWidth="1"/>
    <col min="20" max="20" width="9.140625" bestFit="1" customWidth="1"/>
    <col min="21" max="21" width="24.5703125" bestFit="1" customWidth="1"/>
    <col min="22" max="22" width="34.42578125" bestFit="1" customWidth="1"/>
    <col min="23" max="23" width="38.140625" bestFit="1" customWidth="1"/>
    <col min="24" max="24" width="18.28515625" bestFit="1" customWidth="1"/>
    <col min="25" max="25" width="18.85546875" bestFit="1" customWidth="1"/>
    <col min="26" max="26" width="19.5703125" bestFit="1" customWidth="1"/>
    <col min="27" max="27" width="20.7109375" bestFit="1" customWidth="1"/>
    <col min="28" max="28" width="13.85546875" bestFit="1" customWidth="1"/>
    <col min="29" max="29" width="37.28515625" bestFit="1" customWidth="1"/>
    <col min="30" max="30" width="28.42578125" bestFit="1" customWidth="1"/>
    <col min="31" max="31" width="22.140625" bestFit="1" customWidth="1"/>
    <col min="32" max="32" width="25" bestFit="1" customWidth="1"/>
    <col min="33" max="33" width="15.5703125" bestFit="1" customWidth="1"/>
    <col min="34" max="34" width="35.28515625" bestFit="1" customWidth="1"/>
    <col min="35" max="35" width="34" bestFit="1" customWidth="1"/>
  </cols>
  <sheetData>
    <row r="1" spans="1:35" x14ac:dyDescent="0.2">
      <c r="A1" t="s">
        <v>732</v>
      </c>
      <c r="B1" t="s">
        <v>642</v>
      </c>
      <c r="C1" t="s">
        <v>823</v>
      </c>
      <c r="D1" t="s">
        <v>824</v>
      </c>
      <c r="E1" t="s">
        <v>733</v>
      </c>
      <c r="F1" t="s">
        <v>734</v>
      </c>
      <c r="G1" t="s">
        <v>825</v>
      </c>
      <c r="H1" t="s">
        <v>826</v>
      </c>
      <c r="I1" t="s">
        <v>827</v>
      </c>
      <c r="J1" t="s">
        <v>735</v>
      </c>
      <c r="K1" t="s">
        <v>736</v>
      </c>
      <c r="L1" t="s">
        <v>737</v>
      </c>
      <c r="M1" t="s">
        <v>738</v>
      </c>
      <c r="N1" t="s">
        <v>828</v>
      </c>
      <c r="O1" t="s">
        <v>829</v>
      </c>
      <c r="P1" t="s">
        <v>739</v>
      </c>
      <c r="Q1" t="s">
        <v>830</v>
      </c>
      <c r="R1" t="s">
        <v>831</v>
      </c>
      <c r="S1" t="s">
        <v>740</v>
      </c>
      <c r="T1" t="s">
        <v>741</v>
      </c>
      <c r="U1" t="s">
        <v>832</v>
      </c>
      <c r="V1" t="s">
        <v>833</v>
      </c>
      <c r="W1" t="s">
        <v>834</v>
      </c>
      <c r="X1" t="s">
        <v>835</v>
      </c>
      <c r="Y1" t="s">
        <v>836</v>
      </c>
      <c r="Z1" t="s">
        <v>837</v>
      </c>
      <c r="AA1" t="s">
        <v>742</v>
      </c>
      <c r="AB1" t="s">
        <v>838</v>
      </c>
      <c r="AC1" t="s">
        <v>839</v>
      </c>
      <c r="AD1" t="s">
        <v>840</v>
      </c>
      <c r="AE1" t="s">
        <v>841</v>
      </c>
      <c r="AF1" t="s">
        <v>842</v>
      </c>
      <c r="AG1" t="s">
        <v>843</v>
      </c>
      <c r="AH1" s="163" t="s">
        <v>918</v>
      </c>
      <c r="AI1" s="163" t="s">
        <v>919</v>
      </c>
    </row>
    <row r="2" spans="1:35" x14ac:dyDescent="0.2">
      <c r="A2" t="s">
        <v>628</v>
      </c>
      <c r="B2" t="s">
        <v>143</v>
      </c>
      <c r="C2" s="163">
        <v>33638136.023476511</v>
      </c>
      <c r="D2" s="163">
        <v>22145598.023476511</v>
      </c>
      <c r="E2" s="163">
        <v>9188092</v>
      </c>
      <c r="F2" s="163">
        <v>5095061.5363690099</v>
      </c>
      <c r="G2" s="163">
        <v>3595726.5363690099</v>
      </c>
      <c r="H2" s="163">
        <v>1499335</v>
      </c>
      <c r="I2" s="163">
        <v>3642495.0206263498</v>
      </c>
      <c r="J2" s="163">
        <v>3642495.0206263498</v>
      </c>
      <c r="K2" s="163">
        <v>0</v>
      </c>
      <c r="L2" s="163">
        <v>450535.11279895098</v>
      </c>
      <c r="M2" s="163">
        <v>363403</v>
      </c>
      <c r="N2" s="163">
        <v>22335</v>
      </c>
      <c r="O2" s="163">
        <v>64797</v>
      </c>
      <c r="P2" s="163">
        <v>0</v>
      </c>
      <c r="Q2" s="163">
        <v>2069489</v>
      </c>
      <c r="R2" s="163">
        <v>234957</v>
      </c>
      <c r="S2" s="163">
        <v>4999921</v>
      </c>
      <c r="T2" s="163">
        <v>13358</v>
      </c>
      <c r="U2" s="163">
        <v>49000</v>
      </c>
      <c r="V2" s="163">
        <v>3118</v>
      </c>
      <c r="W2" s="163">
        <v>1152</v>
      </c>
      <c r="X2" s="163">
        <v>0</v>
      </c>
      <c r="Y2" s="163">
        <v>0</v>
      </c>
      <c r="Z2" s="163">
        <v>1347</v>
      </c>
      <c r="AA2" s="163">
        <v>138</v>
      </c>
      <c r="AB2" s="163">
        <v>2093</v>
      </c>
      <c r="AC2" s="163">
        <v>2035</v>
      </c>
      <c r="AD2" s="163">
        <v>449</v>
      </c>
      <c r="AE2" s="163">
        <v>130</v>
      </c>
      <c r="AF2" s="163">
        <v>331</v>
      </c>
      <c r="AG2" s="163">
        <v>23</v>
      </c>
      <c r="AH2" s="163">
        <v>54118000</v>
      </c>
      <c r="AI2" s="163">
        <v>56849000</v>
      </c>
    </row>
    <row r="3" spans="1:35" x14ac:dyDescent="0.2">
      <c r="A3" t="s">
        <v>629</v>
      </c>
      <c r="B3" t="s">
        <v>416</v>
      </c>
      <c r="C3" s="163">
        <v>16320326.645325612</v>
      </c>
      <c r="D3" s="163">
        <v>10455672.645325612</v>
      </c>
      <c r="E3" s="163">
        <v>4931977</v>
      </c>
      <c r="F3" s="163">
        <v>2515113.2461830298</v>
      </c>
      <c r="G3" s="163">
        <v>2275873.2461830298</v>
      </c>
      <c r="H3" s="163">
        <v>239240</v>
      </c>
      <c r="I3" s="163">
        <v>1473058.62957009</v>
      </c>
      <c r="J3" s="163">
        <v>1473058.62957009</v>
      </c>
      <c r="K3" s="163">
        <v>0</v>
      </c>
      <c r="L3" s="163">
        <v>943805.47747576702</v>
      </c>
      <c r="M3" s="163">
        <v>32649</v>
      </c>
      <c r="N3" s="163">
        <v>29315</v>
      </c>
      <c r="O3" s="163">
        <v>57433</v>
      </c>
      <c r="P3" s="163">
        <v>824408</v>
      </c>
      <c r="Q3" s="163">
        <v>820628</v>
      </c>
      <c r="R3" s="163">
        <v>112049</v>
      </c>
      <c r="S3" s="163">
        <v>1418975</v>
      </c>
      <c r="T3" s="163">
        <v>304</v>
      </c>
      <c r="U3" s="163">
        <v>83000</v>
      </c>
      <c r="V3" s="163">
        <v>1485</v>
      </c>
      <c r="W3" s="163">
        <v>732</v>
      </c>
      <c r="X3" s="163">
        <v>0</v>
      </c>
      <c r="Y3" s="163">
        <v>0</v>
      </c>
      <c r="Z3" s="163">
        <v>0</v>
      </c>
      <c r="AA3" s="163">
        <v>0</v>
      </c>
      <c r="AB3" s="163">
        <v>991</v>
      </c>
      <c r="AC3" s="163">
        <v>863</v>
      </c>
      <c r="AD3" s="163">
        <v>228</v>
      </c>
      <c r="AE3" s="163">
        <v>200</v>
      </c>
      <c r="AF3" s="163">
        <v>307</v>
      </c>
      <c r="AG3" s="163">
        <v>56</v>
      </c>
      <c r="AH3" s="163">
        <v>21820000</v>
      </c>
      <c r="AI3" s="163">
        <v>19523000</v>
      </c>
    </row>
    <row r="4" spans="1:35" x14ac:dyDescent="0.2">
      <c r="A4" t="s">
        <v>630</v>
      </c>
      <c r="B4" t="s">
        <v>301</v>
      </c>
      <c r="C4" s="163">
        <v>31488435.587354712</v>
      </c>
      <c r="D4" s="163">
        <v>21865804.587354712</v>
      </c>
      <c r="E4" s="163">
        <v>7602559</v>
      </c>
      <c r="F4" s="163">
        <v>3426233.2266897401</v>
      </c>
      <c r="G4" s="163">
        <v>3088065.2266897401</v>
      </c>
      <c r="H4" s="163">
        <v>338168</v>
      </c>
      <c r="I4" s="163">
        <v>3097699.88964382</v>
      </c>
      <c r="J4" s="163">
        <v>3097699.88964382</v>
      </c>
      <c r="K4" s="163">
        <v>0</v>
      </c>
      <c r="L4" s="163">
        <v>1078626.3272065599</v>
      </c>
      <c r="M4" s="163">
        <v>76854</v>
      </c>
      <c r="N4" s="163">
        <v>41878</v>
      </c>
      <c r="O4" s="163">
        <v>58906</v>
      </c>
      <c r="P4" s="163">
        <v>900988</v>
      </c>
      <c r="Q4" s="163">
        <v>1795821</v>
      </c>
      <c r="R4" s="163">
        <v>224251</v>
      </c>
      <c r="S4" s="163">
        <v>3742533</v>
      </c>
      <c r="T4" s="163">
        <v>3017</v>
      </c>
      <c r="U4" s="163">
        <v>180000</v>
      </c>
      <c r="V4" s="163">
        <v>4771</v>
      </c>
      <c r="W4" s="163">
        <v>3445</v>
      </c>
      <c r="X4" s="163">
        <v>18</v>
      </c>
      <c r="Y4" s="163">
        <v>1556</v>
      </c>
      <c r="Z4" s="163">
        <v>162</v>
      </c>
      <c r="AA4" s="163">
        <v>303</v>
      </c>
      <c r="AB4" s="163">
        <v>2705</v>
      </c>
      <c r="AC4" s="163">
        <v>3404</v>
      </c>
      <c r="AD4" s="163">
        <v>519</v>
      </c>
      <c r="AE4" s="163">
        <v>493</v>
      </c>
      <c r="AF4" s="163">
        <v>1045</v>
      </c>
      <c r="AG4" s="163">
        <v>174</v>
      </c>
      <c r="AH4" s="163">
        <v>72909000</v>
      </c>
      <c r="AI4" s="163">
        <v>71046000</v>
      </c>
    </row>
    <row r="5" spans="1:35" x14ac:dyDescent="0.2">
      <c r="A5" t="s">
        <v>631</v>
      </c>
      <c r="B5" t="s">
        <v>223</v>
      </c>
      <c r="C5" s="163">
        <v>40599673.274886452</v>
      </c>
      <c r="D5" s="163">
        <v>22377721.274886452</v>
      </c>
      <c r="E5" s="163">
        <v>15694941</v>
      </c>
      <c r="F5" s="163">
        <v>5187501.0550036803</v>
      </c>
      <c r="G5" s="163">
        <v>4705194.0550036803</v>
      </c>
      <c r="H5" s="163">
        <v>482307</v>
      </c>
      <c r="I5" s="163">
        <v>3842868.31339852</v>
      </c>
      <c r="J5" s="163">
        <v>3842868.31339852</v>
      </c>
      <c r="K5" s="163">
        <v>0</v>
      </c>
      <c r="L5" s="163">
        <v>6664571.5195239699</v>
      </c>
      <c r="M5" s="163">
        <v>219765</v>
      </c>
      <c r="N5" s="163">
        <v>27919</v>
      </c>
      <c r="O5" s="163">
        <v>70687</v>
      </c>
      <c r="P5" s="163">
        <v>6346200</v>
      </c>
      <c r="Q5" s="163">
        <v>2347747</v>
      </c>
      <c r="R5" s="163">
        <v>179264</v>
      </c>
      <c r="S5" s="163">
        <v>4447380</v>
      </c>
      <c r="T5" s="163">
        <v>2204</v>
      </c>
      <c r="U5" s="163">
        <v>198000</v>
      </c>
      <c r="V5" s="163">
        <v>2986</v>
      </c>
      <c r="W5" s="163">
        <v>1422</v>
      </c>
      <c r="X5" s="163">
        <v>0</v>
      </c>
      <c r="Y5" s="163">
        <v>0</v>
      </c>
      <c r="Z5" s="163">
        <v>74</v>
      </c>
      <c r="AA5" s="163">
        <v>293</v>
      </c>
      <c r="AB5" s="163">
        <v>1842</v>
      </c>
      <c r="AC5" s="163">
        <v>1415</v>
      </c>
      <c r="AD5" s="163">
        <v>474</v>
      </c>
      <c r="AE5" s="163">
        <v>227</v>
      </c>
      <c r="AF5" s="163">
        <v>231</v>
      </c>
      <c r="AG5" s="163">
        <v>81</v>
      </c>
      <c r="AH5" s="163">
        <v>56556000</v>
      </c>
      <c r="AI5" s="163">
        <v>56428000</v>
      </c>
    </row>
    <row r="6" spans="1:35" x14ac:dyDescent="0.2">
      <c r="A6" t="s">
        <v>632</v>
      </c>
      <c r="B6" t="s">
        <v>179</v>
      </c>
      <c r="C6" s="163">
        <v>45532788.360789821</v>
      </c>
      <c r="D6" s="163">
        <v>24581653.360789821</v>
      </c>
      <c r="E6" s="163">
        <v>17815520</v>
      </c>
      <c r="F6" s="163">
        <v>7820550.9164978703</v>
      </c>
      <c r="G6" s="163">
        <v>6691854.9164978703</v>
      </c>
      <c r="H6" s="163">
        <v>1128696</v>
      </c>
      <c r="I6" s="163">
        <v>4350306.6953071496</v>
      </c>
      <c r="J6" s="163">
        <v>4350306.6953071496</v>
      </c>
      <c r="K6" s="163">
        <v>0</v>
      </c>
      <c r="L6" s="163">
        <v>5644662.5012942096</v>
      </c>
      <c r="M6" s="163">
        <v>1117989</v>
      </c>
      <c r="N6" s="163">
        <v>47462</v>
      </c>
      <c r="O6" s="163">
        <v>86886</v>
      </c>
      <c r="P6" s="163">
        <v>4392325</v>
      </c>
      <c r="Q6" s="163">
        <v>2405236</v>
      </c>
      <c r="R6" s="163">
        <v>730379</v>
      </c>
      <c r="S6" s="163">
        <v>10201273</v>
      </c>
      <c r="T6" s="163">
        <v>4167</v>
      </c>
      <c r="U6" s="163">
        <v>180000</v>
      </c>
      <c r="V6" s="163">
        <v>3391</v>
      </c>
      <c r="W6" s="163">
        <v>1825</v>
      </c>
      <c r="X6" s="163">
        <v>0</v>
      </c>
      <c r="Y6" s="163">
        <v>466</v>
      </c>
      <c r="Z6" s="163">
        <v>0</v>
      </c>
      <c r="AA6" s="163">
        <v>50</v>
      </c>
      <c r="AB6" s="163">
        <v>2025</v>
      </c>
      <c r="AC6" s="163">
        <v>3001</v>
      </c>
      <c r="AD6" s="163">
        <v>418</v>
      </c>
      <c r="AE6" s="163">
        <v>0</v>
      </c>
      <c r="AF6" s="163">
        <v>392</v>
      </c>
      <c r="AG6" s="163">
        <v>207</v>
      </c>
      <c r="AH6" s="163">
        <v>72367000</v>
      </c>
      <c r="AI6" s="163">
        <v>71509000</v>
      </c>
    </row>
    <row r="7" spans="1:35" x14ac:dyDescent="0.2">
      <c r="A7" t="s">
        <v>633</v>
      </c>
      <c r="B7" t="s">
        <v>346</v>
      </c>
      <c r="C7" s="163">
        <v>26012980.801482242</v>
      </c>
      <c r="D7" s="163">
        <v>15853957.801482242</v>
      </c>
      <c r="E7" s="163">
        <v>8390764</v>
      </c>
      <c r="F7" s="163">
        <v>4409229.74540825</v>
      </c>
      <c r="G7" s="163">
        <v>4104975.74540825</v>
      </c>
      <c r="H7" s="163">
        <v>304254</v>
      </c>
      <c r="I7" s="163">
        <v>2300121.0648842799</v>
      </c>
      <c r="J7" s="163">
        <v>2300121.0648842799</v>
      </c>
      <c r="K7" s="163">
        <v>0</v>
      </c>
      <c r="L7" s="163">
        <v>1681413.1467074901</v>
      </c>
      <c r="M7" s="163">
        <v>249209</v>
      </c>
      <c r="N7" s="163">
        <v>27919</v>
      </c>
      <c r="O7" s="163">
        <v>67742</v>
      </c>
      <c r="P7" s="163">
        <v>1336543</v>
      </c>
      <c r="Q7" s="163">
        <v>1541965</v>
      </c>
      <c r="R7" s="163">
        <v>226294</v>
      </c>
      <c r="S7" s="163">
        <v>4437220</v>
      </c>
      <c r="T7" s="163">
        <v>1263</v>
      </c>
      <c r="U7" s="163">
        <v>110000</v>
      </c>
      <c r="V7" s="163">
        <v>2124</v>
      </c>
      <c r="W7" s="163">
        <v>2255</v>
      </c>
      <c r="X7" s="163">
        <v>0</v>
      </c>
      <c r="Y7" s="163">
        <v>632</v>
      </c>
      <c r="Z7" s="163">
        <v>32</v>
      </c>
      <c r="AA7" s="163">
        <v>91</v>
      </c>
      <c r="AB7" s="163">
        <v>1624</v>
      </c>
      <c r="AC7" s="163">
        <v>2557</v>
      </c>
      <c r="AD7" s="163">
        <v>245</v>
      </c>
      <c r="AE7" s="163">
        <v>522</v>
      </c>
      <c r="AF7" s="163">
        <v>317</v>
      </c>
      <c r="AG7" s="163">
        <v>103</v>
      </c>
      <c r="AH7" s="163">
        <v>46031000</v>
      </c>
      <c r="AI7" s="163">
        <v>44497000</v>
      </c>
    </row>
    <row r="8" spans="1:35" x14ac:dyDescent="0.2">
      <c r="A8" t="s">
        <v>633</v>
      </c>
      <c r="B8" t="s">
        <v>347</v>
      </c>
      <c r="C8" s="163">
        <v>25354976.365196563</v>
      </c>
      <c r="D8" s="163">
        <v>17264949.365196563</v>
      </c>
      <c r="E8" s="163">
        <v>6636630</v>
      </c>
      <c r="F8" s="163">
        <v>3866167.53612469</v>
      </c>
      <c r="G8" s="163">
        <v>3406429.53612469</v>
      </c>
      <c r="H8" s="163">
        <v>459738</v>
      </c>
      <c r="I8" s="163">
        <v>2397803.26578417</v>
      </c>
      <c r="J8" s="163">
        <v>2397803.26578417</v>
      </c>
      <c r="K8" s="163">
        <v>0</v>
      </c>
      <c r="L8" s="163">
        <v>372659.22332228802</v>
      </c>
      <c r="M8" s="163">
        <v>162101</v>
      </c>
      <c r="N8" s="163">
        <v>80965</v>
      </c>
      <c r="O8" s="163">
        <v>129593</v>
      </c>
      <c r="P8" s="163">
        <v>0</v>
      </c>
      <c r="Q8" s="163">
        <v>1222820</v>
      </c>
      <c r="R8" s="163">
        <v>230577</v>
      </c>
      <c r="S8" s="163">
        <v>4235547</v>
      </c>
      <c r="T8" s="163">
        <v>3279</v>
      </c>
      <c r="U8" s="163">
        <v>0</v>
      </c>
      <c r="V8" s="163">
        <v>3882</v>
      </c>
      <c r="W8" s="163">
        <v>2339</v>
      </c>
      <c r="X8" s="163">
        <v>0</v>
      </c>
      <c r="Y8" s="163">
        <v>0</v>
      </c>
      <c r="Z8" s="163">
        <v>0</v>
      </c>
      <c r="AA8" s="163">
        <v>0</v>
      </c>
      <c r="AB8" s="163">
        <v>2894</v>
      </c>
      <c r="AC8" s="163">
        <v>2286</v>
      </c>
      <c r="AD8" s="163">
        <v>539</v>
      </c>
      <c r="AE8" s="163">
        <v>257</v>
      </c>
      <c r="AF8" s="163">
        <v>363</v>
      </c>
      <c r="AG8" s="163">
        <v>40</v>
      </c>
      <c r="AH8" s="163">
        <v>50974000</v>
      </c>
      <c r="AI8" s="163">
        <v>51554000</v>
      </c>
    </row>
    <row r="9" spans="1:35" x14ac:dyDescent="0.2">
      <c r="A9" t="s">
        <v>630</v>
      </c>
      <c r="B9" t="s">
        <v>302</v>
      </c>
      <c r="C9" s="163">
        <v>195102830.56851232</v>
      </c>
      <c r="D9" s="163">
        <v>105492656.56851232</v>
      </c>
      <c r="E9" s="163">
        <v>73188040</v>
      </c>
      <c r="F9" s="163">
        <v>24425374.452357698</v>
      </c>
      <c r="G9" s="163">
        <v>21276298.452357698</v>
      </c>
      <c r="H9" s="163">
        <v>3149076</v>
      </c>
      <c r="I9" s="163">
        <v>34173808.652958497</v>
      </c>
      <c r="J9" s="163">
        <v>14084721.383336745</v>
      </c>
      <c r="K9" s="163">
        <v>20089087.269621752</v>
      </c>
      <c r="L9" s="163">
        <v>14588856.939332301</v>
      </c>
      <c r="M9" s="163">
        <v>2607361</v>
      </c>
      <c r="N9" s="163">
        <v>368530</v>
      </c>
      <c r="O9" s="163">
        <v>624404</v>
      </c>
      <c r="P9" s="163">
        <v>10988561</v>
      </c>
      <c r="Q9" s="163">
        <v>7905985</v>
      </c>
      <c r="R9" s="163">
        <v>8516149</v>
      </c>
      <c r="S9" s="163">
        <v>35566255</v>
      </c>
      <c r="T9" s="163">
        <v>17834</v>
      </c>
      <c r="U9" s="163">
        <v>2167000</v>
      </c>
      <c r="V9" s="163">
        <v>9341</v>
      </c>
      <c r="W9" s="163">
        <v>12550</v>
      </c>
      <c r="X9" s="163">
        <v>7653</v>
      </c>
      <c r="Y9" s="163">
        <v>4947</v>
      </c>
      <c r="Z9" s="163">
        <v>503</v>
      </c>
      <c r="AA9" s="163">
        <v>778</v>
      </c>
      <c r="AB9" s="163">
        <v>7399</v>
      </c>
      <c r="AC9" s="163">
        <v>11243</v>
      </c>
      <c r="AD9" s="163">
        <v>1928</v>
      </c>
      <c r="AE9" s="163">
        <v>226</v>
      </c>
      <c r="AF9" s="163">
        <v>1759</v>
      </c>
      <c r="AG9" s="163">
        <v>144</v>
      </c>
      <c r="AH9" s="163">
        <v>353086000</v>
      </c>
      <c r="AI9" s="163">
        <v>353530000</v>
      </c>
    </row>
    <row r="10" spans="1:35" x14ac:dyDescent="0.2">
      <c r="A10" t="s">
        <v>634</v>
      </c>
      <c r="B10" t="s">
        <v>199</v>
      </c>
      <c r="C10" s="163">
        <v>155292017.24935502</v>
      </c>
      <c r="D10" s="163">
        <v>77542405.249355018</v>
      </c>
      <c r="E10" s="163">
        <v>65719228</v>
      </c>
      <c r="F10" s="163">
        <v>20960993.8265559</v>
      </c>
      <c r="G10" s="163">
        <v>17992709.8265559</v>
      </c>
      <c r="H10" s="163">
        <v>2968284</v>
      </c>
      <c r="I10" s="163">
        <v>27608809.8715197</v>
      </c>
      <c r="J10" s="163">
        <v>12174390.849493649</v>
      </c>
      <c r="K10" s="163">
        <v>15434419.022026051</v>
      </c>
      <c r="L10" s="163">
        <v>17149424.2771484</v>
      </c>
      <c r="M10" s="163">
        <v>4445993</v>
      </c>
      <c r="N10" s="163">
        <v>254062</v>
      </c>
      <c r="O10" s="163">
        <v>653857</v>
      </c>
      <c r="P10" s="163">
        <v>11795512</v>
      </c>
      <c r="Q10" s="163">
        <v>6777962</v>
      </c>
      <c r="R10" s="163">
        <v>5252422</v>
      </c>
      <c r="S10" s="163">
        <v>37375226</v>
      </c>
      <c r="T10" s="163">
        <v>43922</v>
      </c>
      <c r="U10" s="163">
        <v>2950000</v>
      </c>
      <c r="V10" s="163">
        <v>9440</v>
      </c>
      <c r="W10" s="163">
        <v>10994</v>
      </c>
      <c r="X10" s="163">
        <v>2259</v>
      </c>
      <c r="Y10" s="163">
        <v>50</v>
      </c>
      <c r="Z10" s="163">
        <v>349</v>
      </c>
      <c r="AA10" s="163">
        <v>627</v>
      </c>
      <c r="AB10" s="163">
        <v>8407</v>
      </c>
      <c r="AC10" s="163">
        <v>7750</v>
      </c>
      <c r="AD10" s="163">
        <v>1208</v>
      </c>
      <c r="AE10" s="163">
        <v>418</v>
      </c>
      <c r="AF10" s="163">
        <v>2113</v>
      </c>
      <c r="AG10" s="163">
        <v>143</v>
      </c>
      <c r="AH10" s="163">
        <v>277025000</v>
      </c>
      <c r="AI10" s="163">
        <v>272379000</v>
      </c>
    </row>
    <row r="11" spans="1:35" x14ac:dyDescent="0.2">
      <c r="A11" t="s">
        <v>635</v>
      </c>
      <c r="B11" t="s">
        <v>511</v>
      </c>
      <c r="C11" s="163">
        <v>362599744.32431221</v>
      </c>
      <c r="D11" s="163">
        <v>191931464.32431221</v>
      </c>
      <c r="E11" s="163">
        <v>139190157</v>
      </c>
      <c r="F11" s="163">
        <v>58362668.437614903</v>
      </c>
      <c r="G11" s="163">
        <v>48829460.437614903</v>
      </c>
      <c r="H11" s="163">
        <v>9533208</v>
      </c>
      <c r="I11" s="163">
        <v>62964617.284097299</v>
      </c>
      <c r="J11" s="163">
        <v>20573818.934506036</v>
      </c>
      <c r="K11" s="163">
        <v>42390798.349591263</v>
      </c>
      <c r="L11" s="163">
        <v>17862871.763211101</v>
      </c>
      <c r="M11" s="163">
        <v>7095521</v>
      </c>
      <c r="N11" s="163">
        <v>381093</v>
      </c>
      <c r="O11" s="163">
        <v>814377</v>
      </c>
      <c r="P11" s="163">
        <v>9571880</v>
      </c>
      <c r="Q11" s="163">
        <v>9349349</v>
      </c>
      <c r="R11" s="163">
        <v>22128774</v>
      </c>
      <c r="S11" s="163">
        <v>81383397</v>
      </c>
      <c r="T11" s="163">
        <v>114374</v>
      </c>
      <c r="U11" s="163">
        <v>4390000</v>
      </c>
      <c r="V11" s="163">
        <v>24124</v>
      </c>
      <c r="W11" s="163">
        <v>18245</v>
      </c>
      <c r="X11" s="163">
        <v>13927</v>
      </c>
      <c r="Y11" s="163">
        <v>236</v>
      </c>
      <c r="Z11" s="163">
        <v>0</v>
      </c>
      <c r="AA11" s="163">
        <v>1355</v>
      </c>
      <c r="AB11" s="163">
        <v>12927</v>
      </c>
      <c r="AC11" s="163">
        <v>27279</v>
      </c>
      <c r="AD11" s="163">
        <v>3357</v>
      </c>
      <c r="AE11" s="163">
        <v>0</v>
      </c>
      <c r="AF11" s="163">
        <v>8069</v>
      </c>
      <c r="AG11" s="163">
        <v>671</v>
      </c>
      <c r="AH11" s="163">
        <v>677980000</v>
      </c>
      <c r="AI11" s="163">
        <v>733921000</v>
      </c>
    </row>
    <row r="12" spans="1:35" x14ac:dyDescent="0.2">
      <c r="A12" t="s">
        <v>633</v>
      </c>
      <c r="B12" t="s">
        <v>348</v>
      </c>
      <c r="C12" s="163">
        <v>146895943.02062544</v>
      </c>
      <c r="D12" s="163">
        <v>92657220.020625442</v>
      </c>
      <c r="E12" s="163">
        <v>46029794</v>
      </c>
      <c r="F12" s="163">
        <v>21499198.999168899</v>
      </c>
      <c r="G12" s="163">
        <v>17483982.999168899</v>
      </c>
      <c r="H12" s="163">
        <v>4015216</v>
      </c>
      <c r="I12" s="163">
        <v>12250679.2286433</v>
      </c>
      <c r="J12" s="163">
        <v>12250679.2286433</v>
      </c>
      <c r="K12" s="163">
        <v>0</v>
      </c>
      <c r="L12" s="163">
        <v>12279916.2204451</v>
      </c>
      <c r="M12" s="163">
        <v>1010080</v>
      </c>
      <c r="N12" s="163">
        <v>203808</v>
      </c>
      <c r="O12" s="163">
        <v>456522</v>
      </c>
      <c r="P12" s="163">
        <v>10609505</v>
      </c>
      <c r="Q12" s="163">
        <v>7160081</v>
      </c>
      <c r="R12" s="163">
        <v>1048848</v>
      </c>
      <c r="S12" s="163">
        <v>21851160</v>
      </c>
      <c r="T12" s="163">
        <v>45937</v>
      </c>
      <c r="U12" s="163">
        <v>791000</v>
      </c>
      <c r="V12" s="163">
        <v>12365</v>
      </c>
      <c r="W12" s="163">
        <v>7518</v>
      </c>
      <c r="X12" s="163">
        <v>3159</v>
      </c>
      <c r="Y12" s="163">
        <v>4064</v>
      </c>
      <c r="Z12" s="163">
        <v>46</v>
      </c>
      <c r="AA12" s="163">
        <v>522</v>
      </c>
      <c r="AB12" s="163">
        <v>10800</v>
      </c>
      <c r="AC12" s="163">
        <v>10500</v>
      </c>
      <c r="AD12" s="163">
        <v>1843</v>
      </c>
      <c r="AE12" s="163">
        <v>1275</v>
      </c>
      <c r="AF12" s="163">
        <v>2010</v>
      </c>
      <c r="AG12" s="163">
        <v>265</v>
      </c>
      <c r="AH12" s="163">
        <v>266312000</v>
      </c>
      <c r="AI12" s="163">
        <v>259592000</v>
      </c>
    </row>
    <row r="13" spans="1:35" x14ac:dyDescent="0.2">
      <c r="A13" t="s">
        <v>629</v>
      </c>
      <c r="B13" t="s">
        <v>417</v>
      </c>
      <c r="C13" s="163">
        <v>12134686.434377255</v>
      </c>
      <c r="D13" s="163">
        <v>7635677.4343772549</v>
      </c>
      <c r="E13" s="163">
        <v>3789361</v>
      </c>
      <c r="F13" s="163">
        <v>1360720.76852699</v>
      </c>
      <c r="G13" s="163">
        <v>1021726.76852699</v>
      </c>
      <c r="H13" s="163">
        <v>338994</v>
      </c>
      <c r="I13" s="163">
        <v>1063607.9701229399</v>
      </c>
      <c r="J13" s="163">
        <v>1063607.9701229399</v>
      </c>
      <c r="K13" s="163">
        <v>0</v>
      </c>
      <c r="L13" s="163">
        <v>585032.69137477304</v>
      </c>
      <c r="M13" s="163">
        <v>24734</v>
      </c>
      <c r="N13" s="163">
        <v>0</v>
      </c>
      <c r="O13" s="163">
        <v>5891</v>
      </c>
      <c r="P13" s="163">
        <v>554408</v>
      </c>
      <c r="Q13" s="163">
        <v>621100</v>
      </c>
      <c r="R13" s="163">
        <v>88548</v>
      </c>
      <c r="S13" s="163">
        <v>1277520</v>
      </c>
      <c r="T13" s="163">
        <v>1332</v>
      </c>
      <c r="U13" s="163">
        <v>0</v>
      </c>
      <c r="V13" s="163">
        <v>1295</v>
      </c>
      <c r="W13" s="163">
        <v>704</v>
      </c>
      <c r="X13" s="163">
        <v>0</v>
      </c>
      <c r="Y13" s="163">
        <v>0</v>
      </c>
      <c r="Z13" s="163">
        <v>157</v>
      </c>
      <c r="AA13" s="163">
        <v>35</v>
      </c>
      <c r="AB13" s="163">
        <v>1329</v>
      </c>
      <c r="AC13" s="163">
        <v>985</v>
      </c>
      <c r="AD13" s="163">
        <v>226</v>
      </c>
      <c r="AE13" s="163">
        <v>40</v>
      </c>
      <c r="AF13" s="163">
        <v>400</v>
      </c>
      <c r="AG13" s="163">
        <v>34</v>
      </c>
      <c r="AH13" s="163">
        <v>19215000</v>
      </c>
      <c r="AI13" s="163">
        <v>19657000</v>
      </c>
    </row>
    <row r="14" spans="1:35" x14ac:dyDescent="0.2">
      <c r="A14" t="s">
        <v>632</v>
      </c>
      <c r="B14" t="s">
        <v>180</v>
      </c>
      <c r="C14" s="163">
        <v>6775557.3251194144</v>
      </c>
      <c r="D14" s="163">
        <v>5180015.3251194144</v>
      </c>
      <c r="E14" s="163">
        <v>1288661</v>
      </c>
      <c r="F14" s="163">
        <v>566813.05177071504</v>
      </c>
      <c r="G14" s="163">
        <v>511369.05177071504</v>
      </c>
      <c r="H14" s="163">
        <v>55444</v>
      </c>
      <c r="I14" s="163">
        <v>373491.60498612898</v>
      </c>
      <c r="J14" s="163">
        <v>373491.60498612898</v>
      </c>
      <c r="K14" s="163">
        <v>0</v>
      </c>
      <c r="L14" s="163">
        <v>348356.09774692898</v>
      </c>
      <c r="M14" s="163">
        <v>8599</v>
      </c>
      <c r="N14" s="163">
        <v>4188</v>
      </c>
      <c r="O14" s="163">
        <v>4418</v>
      </c>
      <c r="P14" s="163">
        <v>331151</v>
      </c>
      <c r="Q14" s="163">
        <v>259474</v>
      </c>
      <c r="R14" s="163">
        <v>47407</v>
      </c>
      <c r="S14" s="163">
        <v>164308</v>
      </c>
      <c r="T14" s="163">
        <v>0</v>
      </c>
      <c r="U14" s="163">
        <v>0</v>
      </c>
      <c r="V14" s="163">
        <v>798</v>
      </c>
      <c r="W14" s="163">
        <v>490</v>
      </c>
      <c r="X14" s="163">
        <v>0</v>
      </c>
      <c r="Y14" s="163">
        <v>0</v>
      </c>
      <c r="Z14" s="163">
        <v>2869</v>
      </c>
      <c r="AA14" s="163">
        <v>1355</v>
      </c>
      <c r="AB14" s="163">
        <v>690</v>
      </c>
      <c r="AC14" s="163">
        <v>993</v>
      </c>
      <c r="AD14" s="163">
        <v>88</v>
      </c>
      <c r="AE14" s="163">
        <v>39</v>
      </c>
      <c r="AF14" s="163">
        <v>210</v>
      </c>
      <c r="AG14" s="163">
        <v>75</v>
      </c>
      <c r="AH14" s="163">
        <v>19475000</v>
      </c>
      <c r="AI14" s="163">
        <v>19487000</v>
      </c>
    </row>
    <row r="15" spans="1:35" x14ac:dyDescent="0.2">
      <c r="A15" t="s">
        <v>636</v>
      </c>
      <c r="B15" t="s">
        <v>276</v>
      </c>
      <c r="C15" s="163">
        <v>268653556.50606358</v>
      </c>
      <c r="D15" s="163">
        <v>142414966.50606358</v>
      </c>
      <c r="E15" s="163">
        <v>106644407</v>
      </c>
      <c r="F15" s="163">
        <v>37576520.965781398</v>
      </c>
      <c r="G15" s="163">
        <v>31640447.965781398</v>
      </c>
      <c r="H15" s="163">
        <v>5936073</v>
      </c>
      <c r="I15" s="163">
        <v>47396490.410790898</v>
      </c>
      <c r="J15" s="163">
        <v>17339926.927097533</v>
      </c>
      <c r="K15" s="163">
        <v>30056563.483693365</v>
      </c>
      <c r="L15" s="163">
        <v>21671395.7162119</v>
      </c>
      <c r="M15" s="163">
        <v>3262960</v>
      </c>
      <c r="N15" s="163">
        <v>227539</v>
      </c>
      <c r="O15" s="163">
        <v>511010</v>
      </c>
      <c r="P15" s="163">
        <v>17669886</v>
      </c>
      <c r="Q15" s="163">
        <v>8641270</v>
      </c>
      <c r="R15" s="163">
        <v>10952913</v>
      </c>
      <c r="S15" s="163">
        <v>45826264</v>
      </c>
      <c r="T15" s="163">
        <v>32578</v>
      </c>
      <c r="U15" s="163">
        <v>3856000</v>
      </c>
      <c r="V15" s="163">
        <v>23110</v>
      </c>
      <c r="W15" s="163">
        <v>19337</v>
      </c>
      <c r="X15" s="163">
        <v>2743</v>
      </c>
      <c r="Y15" s="163">
        <v>2556</v>
      </c>
      <c r="Z15" s="163">
        <v>0</v>
      </c>
      <c r="AA15" s="163">
        <v>1004</v>
      </c>
      <c r="AB15" s="163">
        <v>12825</v>
      </c>
      <c r="AC15" s="163">
        <v>15646</v>
      </c>
      <c r="AD15" s="163">
        <v>2406</v>
      </c>
      <c r="AE15" s="163">
        <v>4003</v>
      </c>
      <c r="AF15" s="163">
        <v>3500</v>
      </c>
      <c r="AG15" s="163">
        <v>1054</v>
      </c>
      <c r="AH15" s="163">
        <v>447339000</v>
      </c>
      <c r="AI15" s="163">
        <v>448828000</v>
      </c>
    </row>
    <row r="16" spans="1:35" x14ac:dyDescent="0.2">
      <c r="A16" t="s">
        <v>630</v>
      </c>
      <c r="B16" t="s">
        <v>303</v>
      </c>
      <c r="C16" s="163">
        <v>99828371.846545756</v>
      </c>
      <c r="D16" s="163">
        <v>72202330.846545756</v>
      </c>
      <c r="E16" s="163">
        <v>21353787</v>
      </c>
      <c r="F16" s="163">
        <v>10791064.8437308</v>
      </c>
      <c r="G16" s="163">
        <v>9599408.8437307999</v>
      </c>
      <c r="H16" s="163">
        <v>1191656</v>
      </c>
      <c r="I16" s="163">
        <v>8022257.4561979603</v>
      </c>
      <c r="J16" s="163">
        <v>8022257.4561979603</v>
      </c>
      <c r="K16" s="163">
        <v>0</v>
      </c>
      <c r="L16" s="163">
        <v>2540465.0953111099</v>
      </c>
      <c r="M16" s="163">
        <v>221033</v>
      </c>
      <c r="N16" s="163">
        <v>145178</v>
      </c>
      <c r="O16" s="163">
        <v>234152</v>
      </c>
      <c r="P16" s="163">
        <v>1940102</v>
      </c>
      <c r="Q16" s="163">
        <v>5623359</v>
      </c>
      <c r="R16" s="163">
        <v>648895</v>
      </c>
      <c r="S16" s="163">
        <v>20651490</v>
      </c>
      <c r="T16" s="163">
        <v>5067</v>
      </c>
      <c r="U16" s="163">
        <v>119000</v>
      </c>
      <c r="V16" s="163">
        <v>11228</v>
      </c>
      <c r="W16" s="163">
        <v>9474</v>
      </c>
      <c r="X16" s="163">
        <v>2343</v>
      </c>
      <c r="Y16" s="163">
        <v>0</v>
      </c>
      <c r="Z16" s="163">
        <v>130</v>
      </c>
      <c r="AA16" s="163">
        <v>316</v>
      </c>
      <c r="AB16" s="163">
        <v>8570</v>
      </c>
      <c r="AC16" s="163">
        <v>8523</v>
      </c>
      <c r="AD16" s="163">
        <v>2016</v>
      </c>
      <c r="AE16" s="163">
        <v>3716</v>
      </c>
      <c r="AF16" s="163">
        <v>1687</v>
      </c>
      <c r="AG16" s="163">
        <v>287</v>
      </c>
      <c r="AH16" s="163">
        <v>231137000</v>
      </c>
      <c r="AI16" s="163">
        <v>217625000</v>
      </c>
    </row>
    <row r="17" spans="1:35" x14ac:dyDescent="0.2">
      <c r="A17" t="s">
        <v>630</v>
      </c>
      <c r="B17" t="s">
        <v>304</v>
      </c>
      <c r="C17" s="163">
        <v>2030628520.091588</v>
      </c>
      <c r="D17" s="163">
        <v>1369419376.091588</v>
      </c>
      <c r="E17" s="163">
        <v>505880921</v>
      </c>
      <c r="F17" s="163">
        <v>186776313.78530899</v>
      </c>
      <c r="G17" s="163">
        <v>157945748.78530899</v>
      </c>
      <c r="H17" s="163">
        <v>28830565</v>
      </c>
      <c r="I17" s="163">
        <v>183713300.163041</v>
      </c>
      <c r="J17" s="163">
        <v>63091804.366182446</v>
      </c>
      <c r="K17" s="163">
        <v>120621495.79685855</v>
      </c>
      <c r="L17" s="163">
        <v>135391307.049438</v>
      </c>
      <c r="M17" s="163">
        <v>55991321</v>
      </c>
      <c r="N17" s="163">
        <v>1577420</v>
      </c>
      <c r="O17" s="163">
        <v>3964379</v>
      </c>
      <c r="P17" s="163">
        <v>73858186</v>
      </c>
      <c r="Q17" s="163">
        <v>47621633</v>
      </c>
      <c r="R17" s="163">
        <v>107706590</v>
      </c>
      <c r="S17" s="163">
        <v>554495835</v>
      </c>
      <c r="T17" s="163">
        <v>450866</v>
      </c>
      <c r="U17" s="163">
        <v>56412000</v>
      </c>
      <c r="V17" s="163">
        <v>60523</v>
      </c>
      <c r="W17" s="163">
        <v>106638</v>
      </c>
      <c r="X17" s="163">
        <v>198656</v>
      </c>
      <c r="Y17" s="163">
        <v>4064</v>
      </c>
      <c r="Z17" s="163">
        <v>79955</v>
      </c>
      <c r="AA17" s="163">
        <v>403</v>
      </c>
      <c r="AB17" s="163">
        <v>70025</v>
      </c>
      <c r="AC17" s="163">
        <v>117274</v>
      </c>
      <c r="AD17" s="163">
        <v>20431</v>
      </c>
      <c r="AE17" s="163">
        <v>6650</v>
      </c>
      <c r="AF17" s="163">
        <v>45654</v>
      </c>
      <c r="AG17" s="163">
        <v>22709</v>
      </c>
      <c r="AH17" s="163">
        <v>5130691000</v>
      </c>
      <c r="AI17" s="163">
        <v>5294748000</v>
      </c>
    </row>
    <row r="18" spans="1:35" x14ac:dyDescent="0.2">
      <c r="A18" t="s">
        <v>631</v>
      </c>
      <c r="B18" t="s">
        <v>224</v>
      </c>
      <c r="C18" s="163">
        <v>297200749.97800779</v>
      </c>
      <c r="D18" s="163">
        <v>144690254.97800779</v>
      </c>
      <c r="E18" s="163">
        <v>130000676</v>
      </c>
      <c r="F18" s="163">
        <v>38381847.157653503</v>
      </c>
      <c r="G18" s="163">
        <v>30256412.157653503</v>
      </c>
      <c r="H18" s="163">
        <v>8125435</v>
      </c>
      <c r="I18" s="163">
        <v>65982357.351572603</v>
      </c>
      <c r="J18" s="163">
        <v>23074212.634955794</v>
      </c>
      <c r="K18" s="163">
        <v>42908144.716616809</v>
      </c>
      <c r="L18" s="163">
        <v>25636471.082689598</v>
      </c>
      <c r="M18" s="163">
        <v>3977805</v>
      </c>
      <c r="N18" s="163">
        <v>382489</v>
      </c>
      <c r="O18" s="163">
        <v>780506</v>
      </c>
      <c r="P18" s="163">
        <v>20495671</v>
      </c>
      <c r="Q18" s="163">
        <v>13264142</v>
      </c>
      <c r="R18" s="163">
        <v>9245677</v>
      </c>
      <c r="S18" s="163">
        <v>48611117</v>
      </c>
      <c r="T18" s="163">
        <v>29920</v>
      </c>
      <c r="U18" s="163">
        <v>2818000</v>
      </c>
      <c r="V18" s="163">
        <v>22180</v>
      </c>
      <c r="W18" s="163">
        <v>27642</v>
      </c>
      <c r="X18" s="163">
        <v>3793</v>
      </c>
      <c r="Y18" s="163">
        <v>8253</v>
      </c>
      <c r="Z18" s="163">
        <v>1817</v>
      </c>
      <c r="AA18" s="163">
        <v>1146</v>
      </c>
      <c r="AB18" s="163">
        <v>11544</v>
      </c>
      <c r="AC18" s="163">
        <v>16576</v>
      </c>
      <c r="AD18" s="163">
        <v>2917</v>
      </c>
      <c r="AE18" s="163">
        <v>1573</v>
      </c>
      <c r="AF18" s="163">
        <v>3455</v>
      </c>
      <c r="AG18" s="163">
        <v>678</v>
      </c>
      <c r="AH18" s="163">
        <v>537659000</v>
      </c>
      <c r="AI18" s="163">
        <v>534069000</v>
      </c>
    </row>
    <row r="19" spans="1:35" x14ac:dyDescent="0.2">
      <c r="A19" t="s">
        <v>637</v>
      </c>
      <c r="B19" t="s">
        <v>156</v>
      </c>
      <c r="C19" s="163">
        <v>26427742.1673977</v>
      </c>
      <c r="D19" s="163">
        <v>12813868.1673977</v>
      </c>
      <c r="E19" s="163">
        <v>11017261</v>
      </c>
      <c r="F19" s="163">
        <v>3310966.14825786</v>
      </c>
      <c r="G19" s="163">
        <v>2957046.14825786</v>
      </c>
      <c r="H19" s="163">
        <v>353920</v>
      </c>
      <c r="I19" s="163">
        <v>2530292.34975152</v>
      </c>
      <c r="J19" s="163">
        <v>2530292.34975152</v>
      </c>
      <c r="K19" s="163">
        <v>0</v>
      </c>
      <c r="L19" s="163">
        <v>5176002.84111086</v>
      </c>
      <c r="M19" s="163">
        <v>703504</v>
      </c>
      <c r="N19" s="163">
        <v>25127</v>
      </c>
      <c r="O19" s="163">
        <v>78051</v>
      </c>
      <c r="P19" s="163">
        <v>4369321</v>
      </c>
      <c r="Q19" s="163">
        <v>1498930</v>
      </c>
      <c r="R19" s="163">
        <v>1097683</v>
      </c>
      <c r="S19" s="163">
        <v>5746924</v>
      </c>
      <c r="T19" s="163">
        <v>1850</v>
      </c>
      <c r="U19" s="163">
        <v>57000</v>
      </c>
      <c r="V19" s="163">
        <v>2051</v>
      </c>
      <c r="W19" s="163">
        <v>1191</v>
      </c>
      <c r="X19" s="163">
        <v>6</v>
      </c>
      <c r="Y19" s="163">
        <v>0</v>
      </c>
      <c r="Z19" s="163">
        <v>0</v>
      </c>
      <c r="AA19" s="163">
        <v>74</v>
      </c>
      <c r="AB19" s="163">
        <v>1447</v>
      </c>
      <c r="AC19" s="163">
        <v>1442</v>
      </c>
      <c r="AD19" s="163">
        <v>175</v>
      </c>
      <c r="AE19" s="163">
        <v>73</v>
      </c>
      <c r="AF19" s="163">
        <v>164</v>
      </c>
      <c r="AG19" s="163">
        <v>6</v>
      </c>
      <c r="AH19" s="163">
        <v>39476000</v>
      </c>
      <c r="AI19" s="163">
        <v>40045000</v>
      </c>
    </row>
    <row r="20" spans="1:35" x14ac:dyDescent="0.2">
      <c r="A20" t="s">
        <v>631</v>
      </c>
      <c r="B20" t="s">
        <v>225</v>
      </c>
      <c r="C20" s="163">
        <v>374129295.98764473</v>
      </c>
      <c r="D20" s="163">
        <v>171974506.98764473</v>
      </c>
      <c r="E20" s="163">
        <v>173719958</v>
      </c>
      <c r="F20" s="163">
        <v>41719160.0359229</v>
      </c>
      <c r="G20" s="163">
        <v>36830865.0359229</v>
      </c>
      <c r="H20" s="163">
        <v>4888295</v>
      </c>
      <c r="I20" s="163">
        <v>88914237.113273501</v>
      </c>
      <c r="J20" s="163">
        <v>24611987.396122381</v>
      </c>
      <c r="K20" s="163">
        <v>64302249.71715112</v>
      </c>
      <c r="L20" s="163">
        <v>43086560.392108999</v>
      </c>
      <c r="M20" s="163">
        <v>10999740</v>
      </c>
      <c r="N20" s="163">
        <v>739852</v>
      </c>
      <c r="O20" s="163">
        <v>1588992</v>
      </c>
      <c r="P20" s="163">
        <v>29757977</v>
      </c>
      <c r="Q20" s="163">
        <v>11445135</v>
      </c>
      <c r="R20" s="163">
        <v>16989696</v>
      </c>
      <c r="S20" s="163">
        <v>99344380</v>
      </c>
      <c r="T20" s="163">
        <v>57498</v>
      </c>
      <c r="U20" s="163">
        <v>5575000</v>
      </c>
      <c r="V20" s="163">
        <v>25207</v>
      </c>
      <c r="W20" s="163">
        <v>28301</v>
      </c>
      <c r="X20" s="163">
        <v>13105</v>
      </c>
      <c r="Y20" s="163">
        <v>0</v>
      </c>
      <c r="Z20" s="163">
        <v>0</v>
      </c>
      <c r="AA20" s="163">
        <v>54</v>
      </c>
      <c r="AB20" s="163">
        <v>15867</v>
      </c>
      <c r="AC20" s="163">
        <v>15270</v>
      </c>
      <c r="AD20" s="163">
        <v>2261</v>
      </c>
      <c r="AE20" s="163">
        <v>0</v>
      </c>
      <c r="AF20" s="163">
        <v>3408</v>
      </c>
      <c r="AG20" s="163">
        <v>1153</v>
      </c>
      <c r="AH20" s="163">
        <v>689478000</v>
      </c>
      <c r="AI20" s="163">
        <v>696092000</v>
      </c>
    </row>
    <row r="21" spans="1:35" x14ac:dyDescent="0.2">
      <c r="A21" t="s">
        <v>628</v>
      </c>
      <c r="B21" t="s">
        <v>144</v>
      </c>
      <c r="C21" s="163">
        <v>149757735.52278134</v>
      </c>
      <c r="D21" s="163">
        <v>66397235.522781342</v>
      </c>
      <c r="E21" s="163">
        <v>71667091</v>
      </c>
      <c r="F21" s="163">
        <v>20021263.570818499</v>
      </c>
      <c r="G21" s="163">
        <v>16813832.570818499</v>
      </c>
      <c r="H21" s="163">
        <v>3207431</v>
      </c>
      <c r="I21" s="163">
        <v>48049653.494618498</v>
      </c>
      <c r="J21" s="163">
        <v>10188193.592996821</v>
      </c>
      <c r="K21" s="163">
        <v>37861459.901621677</v>
      </c>
      <c r="L21" s="163">
        <v>3596173.5574489501</v>
      </c>
      <c r="M21" s="163">
        <v>2963287</v>
      </c>
      <c r="N21" s="163">
        <v>194037</v>
      </c>
      <c r="O21" s="163">
        <v>438850</v>
      </c>
      <c r="P21" s="163">
        <v>0</v>
      </c>
      <c r="Q21" s="163">
        <v>5713469</v>
      </c>
      <c r="R21" s="163">
        <v>5979940</v>
      </c>
      <c r="S21" s="163">
        <v>29185662</v>
      </c>
      <c r="T21" s="163">
        <v>26685</v>
      </c>
      <c r="U21" s="163">
        <v>411000</v>
      </c>
      <c r="V21" s="163">
        <v>9589</v>
      </c>
      <c r="W21" s="163">
        <v>7030</v>
      </c>
      <c r="X21" s="163">
        <v>5495</v>
      </c>
      <c r="Y21" s="163">
        <v>73</v>
      </c>
      <c r="Z21" s="163">
        <v>400</v>
      </c>
      <c r="AA21" s="163">
        <v>0</v>
      </c>
      <c r="AB21" s="163">
        <v>6301</v>
      </c>
      <c r="AC21" s="163">
        <v>5628</v>
      </c>
      <c r="AD21" s="163">
        <v>1126</v>
      </c>
      <c r="AE21" s="163">
        <v>661</v>
      </c>
      <c r="AF21" s="163">
        <v>1250</v>
      </c>
      <c r="AG21" s="163">
        <v>302</v>
      </c>
      <c r="AH21" s="163">
        <v>308351000</v>
      </c>
      <c r="AI21" s="163">
        <v>306516000</v>
      </c>
    </row>
    <row r="22" spans="1:35" x14ac:dyDescent="0.2">
      <c r="A22" t="s">
        <v>629</v>
      </c>
      <c r="B22" t="s">
        <v>418</v>
      </c>
      <c r="C22" s="163">
        <v>20954307.832289226</v>
      </c>
      <c r="D22" s="163">
        <v>13335744.832289226</v>
      </c>
      <c r="E22" s="163">
        <v>6286563</v>
      </c>
      <c r="F22" s="163">
        <v>2323135.8441499202</v>
      </c>
      <c r="G22" s="163">
        <v>1952437.8441499202</v>
      </c>
      <c r="H22" s="163">
        <v>370698</v>
      </c>
      <c r="I22" s="163">
        <v>1950087.54783849</v>
      </c>
      <c r="J22" s="163">
        <v>1950087.54783849</v>
      </c>
      <c r="K22" s="163">
        <v>0</v>
      </c>
      <c r="L22" s="163">
        <v>2013339.2740909001</v>
      </c>
      <c r="M22" s="163">
        <v>90952</v>
      </c>
      <c r="N22" s="163">
        <v>8376</v>
      </c>
      <c r="O22" s="163">
        <v>53015</v>
      </c>
      <c r="P22" s="163">
        <v>1860996</v>
      </c>
      <c r="Q22" s="163">
        <v>1181254</v>
      </c>
      <c r="R22" s="163">
        <v>150746</v>
      </c>
      <c r="S22" s="163">
        <v>2834353</v>
      </c>
      <c r="T22" s="163">
        <v>1801</v>
      </c>
      <c r="U22" s="163">
        <v>127000</v>
      </c>
      <c r="V22" s="163">
        <v>2118</v>
      </c>
      <c r="W22" s="163">
        <v>1408</v>
      </c>
      <c r="X22" s="163">
        <v>0</v>
      </c>
      <c r="Y22" s="163">
        <v>0</v>
      </c>
      <c r="Z22" s="163">
        <v>547</v>
      </c>
      <c r="AA22" s="163">
        <v>110</v>
      </c>
      <c r="AB22" s="163">
        <v>1561</v>
      </c>
      <c r="AC22" s="163">
        <v>810</v>
      </c>
      <c r="AD22" s="163">
        <v>360</v>
      </c>
      <c r="AE22" s="163">
        <v>0</v>
      </c>
      <c r="AF22" s="163">
        <v>681</v>
      </c>
      <c r="AG22" s="163">
        <v>33</v>
      </c>
      <c r="AH22" s="163">
        <v>33417000</v>
      </c>
      <c r="AI22" s="163">
        <v>34677000</v>
      </c>
    </row>
    <row r="23" spans="1:35" x14ac:dyDescent="0.2">
      <c r="A23" t="s">
        <v>629</v>
      </c>
      <c r="B23" t="s">
        <v>419</v>
      </c>
      <c r="C23" s="163">
        <v>9151572.0236371234</v>
      </c>
      <c r="D23" s="163">
        <v>6424047.0236371234</v>
      </c>
      <c r="E23" s="163">
        <v>2053544</v>
      </c>
      <c r="F23" s="163">
        <v>942467.79141939001</v>
      </c>
      <c r="G23" s="163">
        <v>929992.79141939001</v>
      </c>
      <c r="H23" s="163">
        <v>12475</v>
      </c>
      <c r="I23" s="163">
        <v>1024309.37539557</v>
      </c>
      <c r="J23" s="163">
        <v>1024309.37539557</v>
      </c>
      <c r="K23" s="163">
        <v>0</v>
      </c>
      <c r="L23" s="163">
        <v>86767.156562697899</v>
      </c>
      <c r="M23" s="163">
        <v>65061</v>
      </c>
      <c r="N23" s="163">
        <v>6980</v>
      </c>
      <c r="O23" s="163">
        <v>14727</v>
      </c>
      <c r="P23" s="163">
        <v>0</v>
      </c>
      <c r="Q23" s="163">
        <v>616474</v>
      </c>
      <c r="R23" s="163">
        <v>57507</v>
      </c>
      <c r="S23" s="163">
        <v>990932</v>
      </c>
      <c r="T23" s="163">
        <v>625</v>
      </c>
      <c r="U23" s="163">
        <v>0</v>
      </c>
      <c r="V23" s="163">
        <v>828</v>
      </c>
      <c r="W23" s="163">
        <v>598</v>
      </c>
      <c r="X23" s="163">
        <v>1</v>
      </c>
      <c r="Y23" s="163">
        <v>8</v>
      </c>
      <c r="Z23" s="163">
        <v>57</v>
      </c>
      <c r="AA23" s="163">
        <v>329</v>
      </c>
      <c r="AB23" s="163">
        <v>505</v>
      </c>
      <c r="AC23" s="163">
        <v>603</v>
      </c>
      <c r="AD23" s="163">
        <v>103</v>
      </c>
      <c r="AE23" s="163">
        <v>0</v>
      </c>
      <c r="AF23" s="163">
        <v>283</v>
      </c>
      <c r="AG23" s="163">
        <v>39</v>
      </c>
      <c r="AH23" s="163">
        <v>14818000</v>
      </c>
      <c r="AI23" s="163">
        <v>15383000</v>
      </c>
    </row>
    <row r="24" spans="1:35" x14ac:dyDescent="0.2">
      <c r="A24" t="s">
        <v>636</v>
      </c>
      <c r="B24" t="s">
        <v>277</v>
      </c>
      <c r="C24" s="163">
        <v>31323496.858456895</v>
      </c>
      <c r="D24" s="163">
        <v>19449533.858456895</v>
      </c>
      <c r="E24" s="163">
        <v>9555957</v>
      </c>
      <c r="F24" s="163">
        <v>4847181.3986355904</v>
      </c>
      <c r="G24" s="163">
        <v>3962852.3986355904</v>
      </c>
      <c r="H24" s="163">
        <v>884329</v>
      </c>
      <c r="I24" s="163">
        <v>3463925.7493509999</v>
      </c>
      <c r="J24" s="163">
        <v>3463925.7493509999</v>
      </c>
      <c r="K24" s="163">
        <v>0</v>
      </c>
      <c r="L24" s="163">
        <v>1244850.00551096</v>
      </c>
      <c r="M24" s="163">
        <v>231968</v>
      </c>
      <c r="N24" s="163">
        <v>23731</v>
      </c>
      <c r="O24" s="163">
        <v>33871</v>
      </c>
      <c r="P24" s="163">
        <v>955280</v>
      </c>
      <c r="Q24" s="163">
        <v>2113562</v>
      </c>
      <c r="R24" s="163">
        <v>204444</v>
      </c>
      <c r="S24" s="163">
        <v>4884466</v>
      </c>
      <c r="T24" s="163">
        <v>1266</v>
      </c>
      <c r="U24" s="163">
        <v>149000</v>
      </c>
      <c r="V24" s="163">
        <v>4027</v>
      </c>
      <c r="W24" s="163">
        <v>1679</v>
      </c>
      <c r="X24" s="163">
        <v>20</v>
      </c>
      <c r="Y24" s="163">
        <v>39</v>
      </c>
      <c r="Z24" s="163">
        <v>100</v>
      </c>
      <c r="AA24" s="163">
        <v>150</v>
      </c>
      <c r="AB24" s="163">
        <v>2627</v>
      </c>
      <c r="AC24" s="163">
        <v>3170</v>
      </c>
      <c r="AD24" s="163">
        <v>488</v>
      </c>
      <c r="AE24" s="163">
        <v>452</v>
      </c>
      <c r="AF24" s="163">
        <v>417</v>
      </c>
      <c r="AG24" s="163">
        <v>64</v>
      </c>
      <c r="AH24" s="163">
        <v>66718000</v>
      </c>
      <c r="AI24" s="163">
        <v>66866000</v>
      </c>
    </row>
    <row r="25" spans="1:35" x14ac:dyDescent="0.2">
      <c r="A25" t="s">
        <v>633</v>
      </c>
      <c r="B25" t="s">
        <v>349</v>
      </c>
      <c r="C25" s="163">
        <v>54004032.488534696</v>
      </c>
      <c r="D25" s="163">
        <v>38931252.488534696</v>
      </c>
      <c r="E25" s="163">
        <v>12289682</v>
      </c>
      <c r="F25" s="163">
        <v>8005601.2168052997</v>
      </c>
      <c r="G25" s="163">
        <v>6921280.2168052997</v>
      </c>
      <c r="H25" s="163">
        <v>1084321</v>
      </c>
      <c r="I25" s="163">
        <v>4022038.3534515402</v>
      </c>
      <c r="J25" s="163">
        <v>4022038.3534515402</v>
      </c>
      <c r="K25" s="163">
        <v>0</v>
      </c>
      <c r="L25" s="163">
        <v>262041.97323792501</v>
      </c>
      <c r="M25" s="163">
        <v>120637</v>
      </c>
      <c r="N25" s="163">
        <v>53046</v>
      </c>
      <c r="O25" s="163">
        <v>88359</v>
      </c>
      <c r="P25" s="163">
        <v>0</v>
      </c>
      <c r="Q25" s="163">
        <v>2323927</v>
      </c>
      <c r="R25" s="163">
        <v>459171</v>
      </c>
      <c r="S25" s="163">
        <v>7137418</v>
      </c>
      <c r="T25" s="163">
        <v>2547</v>
      </c>
      <c r="U25" s="163">
        <v>185000</v>
      </c>
      <c r="V25" s="163">
        <v>5839</v>
      </c>
      <c r="W25" s="163">
        <v>2762</v>
      </c>
      <c r="X25" s="163">
        <v>0</v>
      </c>
      <c r="Y25" s="163">
        <v>0</v>
      </c>
      <c r="Z25" s="163">
        <v>25</v>
      </c>
      <c r="AA25" s="163">
        <v>290</v>
      </c>
      <c r="AB25" s="163">
        <v>3010</v>
      </c>
      <c r="AC25" s="163">
        <v>4392</v>
      </c>
      <c r="AD25" s="163">
        <v>847</v>
      </c>
      <c r="AE25" s="163">
        <v>533</v>
      </c>
      <c r="AF25" s="163">
        <v>510</v>
      </c>
      <c r="AG25" s="163">
        <v>119</v>
      </c>
      <c r="AH25" s="163">
        <v>90072000</v>
      </c>
      <c r="AI25" s="163">
        <v>96956000</v>
      </c>
    </row>
    <row r="26" spans="1:35" x14ac:dyDescent="0.2">
      <c r="A26" t="s">
        <v>631</v>
      </c>
      <c r="B26" t="s">
        <v>226</v>
      </c>
      <c r="C26" s="163">
        <v>71329088.557565093</v>
      </c>
      <c r="D26" s="163">
        <v>43626622.557565093</v>
      </c>
      <c r="E26" s="163">
        <v>24079434</v>
      </c>
      <c r="F26" s="163">
        <v>15846220.2353485</v>
      </c>
      <c r="G26" s="163">
        <v>8429910.2353485003</v>
      </c>
      <c r="H26" s="163">
        <v>7416310</v>
      </c>
      <c r="I26" s="163">
        <v>5440665.7120669298</v>
      </c>
      <c r="J26" s="163">
        <v>5440665.7120669298</v>
      </c>
      <c r="K26" s="163">
        <v>0</v>
      </c>
      <c r="L26" s="163">
        <v>2792547.8509102799</v>
      </c>
      <c r="M26" s="163">
        <v>135548</v>
      </c>
      <c r="N26" s="163">
        <v>85153</v>
      </c>
      <c r="O26" s="163">
        <v>119285</v>
      </c>
      <c r="P26" s="163">
        <v>2452562</v>
      </c>
      <c r="Q26" s="163">
        <v>3082607</v>
      </c>
      <c r="R26" s="163">
        <v>540425</v>
      </c>
      <c r="S26" s="163">
        <v>7478158</v>
      </c>
      <c r="T26" s="163">
        <v>15284</v>
      </c>
      <c r="U26" s="163">
        <v>663000</v>
      </c>
      <c r="V26" s="163">
        <v>6535</v>
      </c>
      <c r="W26" s="163">
        <v>4557</v>
      </c>
      <c r="X26" s="163">
        <v>1164</v>
      </c>
      <c r="Y26" s="163">
        <v>2955</v>
      </c>
      <c r="Z26" s="163">
        <v>458</v>
      </c>
      <c r="AA26" s="163">
        <v>1209</v>
      </c>
      <c r="AB26" s="163">
        <v>4330</v>
      </c>
      <c r="AC26" s="163">
        <v>5325</v>
      </c>
      <c r="AD26" s="163">
        <v>1078</v>
      </c>
      <c r="AE26" s="163">
        <v>742</v>
      </c>
      <c r="AF26" s="163">
        <v>2291</v>
      </c>
      <c r="AG26" s="163">
        <v>192</v>
      </c>
      <c r="AH26" s="163">
        <v>112887000</v>
      </c>
      <c r="AI26" s="163">
        <v>111368000</v>
      </c>
    </row>
    <row r="27" spans="1:35" x14ac:dyDescent="0.2">
      <c r="A27" t="s">
        <v>637</v>
      </c>
      <c r="B27" t="s">
        <v>157</v>
      </c>
      <c r="C27" s="163">
        <v>16167979.03629259</v>
      </c>
      <c r="D27" s="163">
        <v>9513889.0362925902</v>
      </c>
      <c r="E27" s="163">
        <v>5544391</v>
      </c>
      <c r="F27" s="163">
        <v>2510680.5856265901</v>
      </c>
      <c r="G27" s="163">
        <v>2081747.5856265901</v>
      </c>
      <c r="H27" s="163">
        <v>428933</v>
      </c>
      <c r="I27" s="163">
        <v>1658647.6088568401</v>
      </c>
      <c r="J27" s="163">
        <v>1658647.6088568401</v>
      </c>
      <c r="K27" s="163">
        <v>0</v>
      </c>
      <c r="L27" s="163">
        <v>1375062.6011039501</v>
      </c>
      <c r="M27" s="163">
        <v>169501</v>
      </c>
      <c r="N27" s="163">
        <v>29315</v>
      </c>
      <c r="O27" s="163">
        <v>54488</v>
      </c>
      <c r="P27" s="163">
        <v>1121759</v>
      </c>
      <c r="Q27" s="163">
        <v>870082</v>
      </c>
      <c r="R27" s="163">
        <v>239617</v>
      </c>
      <c r="S27" s="163">
        <v>2165112</v>
      </c>
      <c r="T27" s="163">
        <v>16254</v>
      </c>
      <c r="U27" s="163">
        <v>0</v>
      </c>
      <c r="V27" s="163">
        <v>1247</v>
      </c>
      <c r="W27" s="163">
        <v>636</v>
      </c>
      <c r="X27" s="163">
        <v>0</v>
      </c>
      <c r="Y27" s="163">
        <v>0</v>
      </c>
      <c r="Z27" s="163">
        <v>0</v>
      </c>
      <c r="AA27" s="163">
        <v>57</v>
      </c>
      <c r="AB27" s="163">
        <v>1010</v>
      </c>
      <c r="AC27" s="163">
        <v>1017</v>
      </c>
      <c r="AD27" s="163">
        <v>197</v>
      </c>
      <c r="AE27" s="163">
        <v>150</v>
      </c>
      <c r="AF27" s="163">
        <v>178</v>
      </c>
      <c r="AG27" s="163">
        <v>10</v>
      </c>
      <c r="AH27" s="163">
        <v>23222000</v>
      </c>
      <c r="AI27" s="163">
        <v>23311000</v>
      </c>
    </row>
    <row r="28" spans="1:35" x14ac:dyDescent="0.2">
      <c r="A28" t="s">
        <v>638</v>
      </c>
      <c r="B28" t="s">
        <v>479</v>
      </c>
      <c r="C28" s="163">
        <v>20714436.986365728</v>
      </c>
      <c r="D28" s="163">
        <v>12188827.986365728</v>
      </c>
      <c r="E28" s="163">
        <v>6923890</v>
      </c>
      <c r="F28" s="163">
        <v>2647731.4978438099</v>
      </c>
      <c r="G28" s="163">
        <v>2401232.4978438099</v>
      </c>
      <c r="H28" s="163">
        <v>246499</v>
      </c>
      <c r="I28" s="163">
        <v>2322763.1013251399</v>
      </c>
      <c r="J28" s="163">
        <v>2322763.1013251399</v>
      </c>
      <c r="K28" s="163">
        <v>0</v>
      </c>
      <c r="L28" s="163">
        <v>1953395.83773196</v>
      </c>
      <c r="M28" s="163">
        <v>304452</v>
      </c>
      <c r="N28" s="163">
        <v>30711</v>
      </c>
      <c r="O28" s="163">
        <v>38289</v>
      </c>
      <c r="P28" s="163">
        <v>1579944</v>
      </c>
      <c r="Q28" s="163">
        <v>1455112</v>
      </c>
      <c r="R28" s="163">
        <v>146607</v>
      </c>
      <c r="S28" s="163">
        <v>3615018</v>
      </c>
      <c r="T28" s="163">
        <v>5777</v>
      </c>
      <c r="U28" s="163">
        <v>55000</v>
      </c>
      <c r="V28" s="163">
        <v>2194</v>
      </c>
      <c r="W28" s="163">
        <v>2032</v>
      </c>
      <c r="X28" s="163">
        <v>3</v>
      </c>
      <c r="Y28" s="163">
        <v>0</v>
      </c>
      <c r="Z28" s="163">
        <v>1</v>
      </c>
      <c r="AA28" s="163">
        <v>130</v>
      </c>
      <c r="AB28" s="163">
        <v>1861</v>
      </c>
      <c r="AC28" s="163">
        <v>1156</v>
      </c>
      <c r="AD28" s="163">
        <v>257</v>
      </c>
      <c r="AE28" s="163">
        <v>49</v>
      </c>
      <c r="AF28" s="163">
        <v>399</v>
      </c>
      <c r="AG28" s="163">
        <v>29</v>
      </c>
      <c r="AH28" s="163">
        <v>36447000</v>
      </c>
      <c r="AI28" s="163">
        <v>37275000</v>
      </c>
    </row>
    <row r="29" spans="1:35" x14ac:dyDescent="0.2">
      <c r="A29" t="s">
        <v>630</v>
      </c>
      <c r="B29" t="s">
        <v>305</v>
      </c>
      <c r="C29" s="163">
        <v>10679951.031450577</v>
      </c>
      <c r="D29" s="163">
        <v>7083492.0314505771</v>
      </c>
      <c r="E29" s="163">
        <v>2902848</v>
      </c>
      <c r="F29" s="163">
        <v>1445066.9740273801</v>
      </c>
      <c r="G29" s="163">
        <v>1196271.9740273801</v>
      </c>
      <c r="H29" s="163">
        <v>248795</v>
      </c>
      <c r="I29" s="163">
        <v>1038051.79234434</v>
      </c>
      <c r="J29" s="163">
        <v>1038051.79234434</v>
      </c>
      <c r="K29" s="163">
        <v>0</v>
      </c>
      <c r="L29" s="163">
        <v>419728.91526858701</v>
      </c>
      <c r="M29" s="163">
        <v>22310</v>
      </c>
      <c r="N29" s="163">
        <v>13959</v>
      </c>
      <c r="O29" s="163">
        <v>27980</v>
      </c>
      <c r="P29" s="163">
        <v>355479</v>
      </c>
      <c r="Q29" s="163">
        <v>564664</v>
      </c>
      <c r="R29" s="163">
        <v>128947</v>
      </c>
      <c r="S29" s="163">
        <v>1041126</v>
      </c>
      <c r="T29" s="163">
        <v>2365</v>
      </c>
      <c r="U29" s="163">
        <v>0</v>
      </c>
      <c r="V29" s="163">
        <v>1580</v>
      </c>
      <c r="W29" s="163">
        <v>522</v>
      </c>
      <c r="X29" s="163">
        <v>0</v>
      </c>
      <c r="Y29" s="163">
        <v>0</v>
      </c>
      <c r="Z29" s="163">
        <v>60</v>
      </c>
      <c r="AA29" s="163">
        <v>7</v>
      </c>
      <c r="AB29" s="163">
        <v>642</v>
      </c>
      <c r="AC29" s="163">
        <v>1098</v>
      </c>
      <c r="AD29" s="163">
        <v>178</v>
      </c>
      <c r="AE29" s="163">
        <v>55</v>
      </c>
      <c r="AF29" s="163">
        <v>415</v>
      </c>
      <c r="AG29" s="163">
        <v>17</v>
      </c>
      <c r="AH29" s="163">
        <v>16222000</v>
      </c>
      <c r="AI29" s="163">
        <v>16778000</v>
      </c>
    </row>
    <row r="30" spans="1:35" x14ac:dyDescent="0.2">
      <c r="A30" t="s">
        <v>638</v>
      </c>
      <c r="B30" t="s">
        <v>480</v>
      </c>
      <c r="C30" s="163">
        <v>18495149.801418666</v>
      </c>
      <c r="D30" s="163">
        <v>10939817.801418666</v>
      </c>
      <c r="E30" s="163">
        <v>6276779</v>
      </c>
      <c r="F30" s="163">
        <v>2355382.73225703</v>
      </c>
      <c r="G30" s="163">
        <v>2167377.73225703</v>
      </c>
      <c r="H30" s="163">
        <v>188005</v>
      </c>
      <c r="I30" s="163">
        <v>2062980.6953098499</v>
      </c>
      <c r="J30" s="163">
        <v>2062980.6953098499</v>
      </c>
      <c r="K30" s="163">
        <v>0</v>
      </c>
      <c r="L30" s="163">
        <v>1858415.9671046999</v>
      </c>
      <c r="M30" s="163">
        <v>238668</v>
      </c>
      <c r="N30" s="163">
        <v>18147</v>
      </c>
      <c r="O30" s="163">
        <v>50070</v>
      </c>
      <c r="P30" s="163">
        <v>1551530</v>
      </c>
      <c r="Q30" s="163">
        <v>1157809</v>
      </c>
      <c r="R30" s="163">
        <v>120744</v>
      </c>
      <c r="S30" s="163">
        <v>2736361</v>
      </c>
      <c r="T30" s="163">
        <v>665</v>
      </c>
      <c r="U30" s="163">
        <v>119000</v>
      </c>
      <c r="V30" s="163">
        <v>1531</v>
      </c>
      <c r="W30" s="163">
        <v>693</v>
      </c>
      <c r="X30" s="163">
        <v>0</v>
      </c>
      <c r="Y30" s="163">
        <v>0</v>
      </c>
      <c r="Z30" s="163">
        <v>612</v>
      </c>
      <c r="AA30" s="163">
        <v>69</v>
      </c>
      <c r="AB30" s="163">
        <v>1097</v>
      </c>
      <c r="AC30" s="163">
        <v>781</v>
      </c>
      <c r="AD30" s="163">
        <v>190</v>
      </c>
      <c r="AE30" s="163">
        <v>69</v>
      </c>
      <c r="AF30" s="163">
        <v>183</v>
      </c>
      <c r="AG30" s="163">
        <v>63</v>
      </c>
      <c r="AH30" s="163">
        <v>28544000</v>
      </c>
      <c r="AI30" s="163">
        <v>29253000</v>
      </c>
    </row>
    <row r="31" spans="1:35" x14ac:dyDescent="0.2">
      <c r="A31" t="s">
        <v>631</v>
      </c>
      <c r="B31" t="s">
        <v>639</v>
      </c>
      <c r="C31" s="163">
        <v>50443164.051139712</v>
      </c>
      <c r="D31" s="163">
        <v>29594739.051139712</v>
      </c>
      <c r="E31" s="163">
        <v>17226178</v>
      </c>
      <c r="F31" s="163">
        <v>6474955.27856794</v>
      </c>
      <c r="G31" s="163">
        <v>5694582.27856794</v>
      </c>
      <c r="H31" s="163">
        <v>780373</v>
      </c>
      <c r="I31" s="163">
        <v>5564498.4078482101</v>
      </c>
      <c r="J31" s="163">
        <v>5564498.4078482101</v>
      </c>
      <c r="K31" s="163">
        <v>0</v>
      </c>
      <c r="L31" s="163">
        <v>5186724.1392956497</v>
      </c>
      <c r="M31" s="163">
        <v>887815</v>
      </c>
      <c r="N31" s="163">
        <v>61422</v>
      </c>
      <c r="O31" s="163">
        <v>136957</v>
      </c>
      <c r="P31" s="163">
        <v>4100531</v>
      </c>
      <c r="Q31" s="163">
        <v>3298548</v>
      </c>
      <c r="R31" s="163">
        <v>323699</v>
      </c>
      <c r="S31" s="163">
        <v>9076696</v>
      </c>
      <c r="T31" s="163">
        <v>3766</v>
      </c>
      <c r="U31" s="163">
        <v>101000</v>
      </c>
      <c r="V31" s="163">
        <v>3453</v>
      </c>
      <c r="W31" s="163">
        <v>1691</v>
      </c>
      <c r="X31" s="163">
        <v>112</v>
      </c>
      <c r="Y31" s="163">
        <v>0</v>
      </c>
      <c r="Z31" s="163">
        <v>250</v>
      </c>
      <c r="AA31" s="163">
        <v>47</v>
      </c>
      <c r="AB31" s="163">
        <v>3380</v>
      </c>
      <c r="AC31" s="163">
        <v>3215</v>
      </c>
      <c r="AD31" s="163">
        <v>689</v>
      </c>
      <c r="AE31" s="163">
        <v>45</v>
      </c>
      <c r="AF31" s="163">
        <v>578</v>
      </c>
      <c r="AG31" s="163">
        <v>68</v>
      </c>
      <c r="AH31" s="163">
        <v>80002000</v>
      </c>
      <c r="AI31" s="163">
        <v>75551000</v>
      </c>
    </row>
    <row r="32" spans="1:35" x14ac:dyDescent="0.2">
      <c r="A32" t="s">
        <v>629</v>
      </c>
      <c r="B32" t="s">
        <v>420</v>
      </c>
      <c r="C32" s="163">
        <v>22534421.496923499</v>
      </c>
      <c r="D32" s="163">
        <v>13491417.496923499</v>
      </c>
      <c r="E32" s="163">
        <v>7666764</v>
      </c>
      <c r="F32" s="163">
        <v>2937984.29574198</v>
      </c>
      <c r="G32" s="163">
        <v>2378222.29574198</v>
      </c>
      <c r="H32" s="163">
        <v>559762</v>
      </c>
      <c r="I32" s="163">
        <v>2059130.7132854799</v>
      </c>
      <c r="J32" s="163">
        <v>2059130.7132854799</v>
      </c>
      <c r="K32" s="163">
        <v>0</v>
      </c>
      <c r="L32" s="163">
        <v>2669649.2311978401</v>
      </c>
      <c r="M32" s="163">
        <v>45366</v>
      </c>
      <c r="N32" s="163">
        <v>12564</v>
      </c>
      <c r="O32" s="163">
        <v>67742</v>
      </c>
      <c r="P32" s="163">
        <v>2543977</v>
      </c>
      <c r="Q32" s="163">
        <v>1215772</v>
      </c>
      <c r="R32" s="163">
        <v>160468</v>
      </c>
      <c r="S32" s="163">
        <v>2009692</v>
      </c>
      <c r="T32" s="163">
        <v>6982</v>
      </c>
      <c r="U32" s="163">
        <v>0</v>
      </c>
      <c r="V32" s="163">
        <v>2188</v>
      </c>
      <c r="W32" s="163">
        <v>1342</v>
      </c>
      <c r="X32" s="163">
        <v>0</v>
      </c>
      <c r="Y32" s="163">
        <v>0</v>
      </c>
      <c r="Z32" s="163">
        <v>917</v>
      </c>
      <c r="AA32" s="163">
        <v>37</v>
      </c>
      <c r="AB32" s="163">
        <v>1728</v>
      </c>
      <c r="AC32" s="163">
        <v>1234</v>
      </c>
      <c r="AD32" s="163">
        <v>893</v>
      </c>
      <c r="AE32" s="163">
        <v>14</v>
      </c>
      <c r="AF32" s="163">
        <v>450</v>
      </c>
      <c r="AG32" s="163">
        <v>35</v>
      </c>
      <c r="AH32" s="163">
        <v>42368000</v>
      </c>
      <c r="AI32" s="163">
        <v>42795000</v>
      </c>
    </row>
    <row r="33" spans="1:35" x14ac:dyDescent="0.2">
      <c r="A33" t="s">
        <v>638</v>
      </c>
      <c r="B33" t="s">
        <v>519</v>
      </c>
      <c r="C33" s="163">
        <v>19160759.694426917</v>
      </c>
      <c r="D33" s="163">
        <v>10861271.694426917</v>
      </c>
      <c r="E33" s="163">
        <v>6968458</v>
      </c>
      <c r="F33" s="163">
        <v>2465662.7966390098</v>
      </c>
      <c r="G33" s="163">
        <v>2087140.7966390098</v>
      </c>
      <c r="H33" s="163">
        <v>378522</v>
      </c>
      <c r="I33" s="163">
        <v>2030034.37625185</v>
      </c>
      <c r="J33" s="163">
        <v>2030034.37625185</v>
      </c>
      <c r="K33" s="163">
        <v>0</v>
      </c>
      <c r="L33" s="163">
        <v>2472761.1096228198</v>
      </c>
      <c r="M33" s="163">
        <v>153600</v>
      </c>
      <c r="N33" s="163">
        <v>22335</v>
      </c>
      <c r="O33" s="163">
        <v>80996</v>
      </c>
      <c r="P33" s="163">
        <v>2215830</v>
      </c>
      <c r="Q33" s="163">
        <v>1182904</v>
      </c>
      <c r="R33" s="163">
        <v>148126</v>
      </c>
      <c r="S33" s="163">
        <v>2292463</v>
      </c>
      <c r="T33" s="163">
        <v>4184</v>
      </c>
      <c r="U33" s="163">
        <v>62000</v>
      </c>
      <c r="V33" s="163">
        <v>1477</v>
      </c>
      <c r="W33" s="163">
        <v>780</v>
      </c>
      <c r="X33" s="163">
        <v>0</v>
      </c>
      <c r="Y33" s="163">
        <v>0</v>
      </c>
      <c r="Z33" s="163">
        <v>433</v>
      </c>
      <c r="AA33" s="163">
        <v>41</v>
      </c>
      <c r="AB33" s="163">
        <v>1320</v>
      </c>
      <c r="AC33" s="163">
        <v>842</v>
      </c>
      <c r="AD33" s="163">
        <v>164</v>
      </c>
      <c r="AE33" s="163">
        <v>15</v>
      </c>
      <c r="AF33" s="163">
        <v>199</v>
      </c>
      <c r="AG33" s="163">
        <v>112</v>
      </c>
      <c r="AH33" s="163">
        <v>36528000</v>
      </c>
      <c r="AI33" s="163">
        <v>37372000</v>
      </c>
    </row>
    <row r="34" spans="1:35" x14ac:dyDescent="0.2">
      <c r="A34" t="s">
        <v>630</v>
      </c>
      <c r="B34" t="s">
        <v>520</v>
      </c>
      <c r="C34" s="163">
        <v>34122353.106600404</v>
      </c>
      <c r="D34" s="163">
        <v>22034687.106600404</v>
      </c>
      <c r="E34" s="163">
        <v>9501835</v>
      </c>
      <c r="F34" s="163">
        <v>3952431.9431405398</v>
      </c>
      <c r="G34" s="163">
        <v>3241158.9431405398</v>
      </c>
      <c r="H34" s="163">
        <v>711273</v>
      </c>
      <c r="I34" s="163">
        <v>3975479.9663178902</v>
      </c>
      <c r="J34" s="163">
        <v>3975479.9663178902</v>
      </c>
      <c r="K34" s="163">
        <v>0</v>
      </c>
      <c r="L34" s="163">
        <v>1573923.30594425</v>
      </c>
      <c r="M34" s="163">
        <v>81595</v>
      </c>
      <c r="N34" s="163">
        <v>43274</v>
      </c>
      <c r="O34" s="163">
        <v>64797</v>
      </c>
      <c r="P34" s="163">
        <v>1384257</v>
      </c>
      <c r="Q34" s="163">
        <v>2339355</v>
      </c>
      <c r="R34" s="163">
        <v>246476</v>
      </c>
      <c r="S34" s="163">
        <v>4379720</v>
      </c>
      <c r="T34" s="163">
        <v>3356</v>
      </c>
      <c r="U34" s="163">
        <v>49000</v>
      </c>
      <c r="V34" s="163">
        <v>5921</v>
      </c>
      <c r="W34" s="163">
        <v>2275</v>
      </c>
      <c r="X34" s="163">
        <v>4289</v>
      </c>
      <c r="Y34" s="163">
        <v>2182</v>
      </c>
      <c r="Z34" s="163">
        <v>2452</v>
      </c>
      <c r="AA34" s="163">
        <v>1020</v>
      </c>
      <c r="AB34" s="163">
        <v>5512</v>
      </c>
      <c r="AC34" s="163">
        <v>4457</v>
      </c>
      <c r="AD34" s="163">
        <v>688</v>
      </c>
      <c r="AE34" s="163">
        <v>455</v>
      </c>
      <c r="AF34" s="163">
        <v>602</v>
      </c>
      <c r="AG34" s="163">
        <v>36</v>
      </c>
      <c r="AH34" s="163">
        <v>68652000</v>
      </c>
      <c r="AI34" s="163">
        <v>67838000</v>
      </c>
    </row>
    <row r="35" spans="1:35" x14ac:dyDescent="0.2">
      <c r="A35" t="s">
        <v>629</v>
      </c>
      <c r="B35" t="s">
        <v>421</v>
      </c>
      <c r="C35" s="163">
        <v>119917086.42982846</v>
      </c>
      <c r="D35" s="163">
        <v>63504154.429828465</v>
      </c>
      <c r="E35" s="163">
        <v>46828168</v>
      </c>
      <c r="F35" s="163">
        <v>13315004.848664301</v>
      </c>
      <c r="G35" s="163">
        <v>11649463.848664301</v>
      </c>
      <c r="H35" s="163">
        <v>1665541</v>
      </c>
      <c r="I35" s="163">
        <v>20007314.626233399</v>
      </c>
      <c r="J35" s="163">
        <v>9779818.9140581228</v>
      </c>
      <c r="K35" s="163">
        <v>10227495.712175276</v>
      </c>
      <c r="L35" s="163">
        <v>13505848.4296051</v>
      </c>
      <c r="M35" s="163">
        <v>2418595</v>
      </c>
      <c r="N35" s="163">
        <v>153554</v>
      </c>
      <c r="O35" s="163">
        <v>334292</v>
      </c>
      <c r="P35" s="163">
        <v>10599407</v>
      </c>
      <c r="Q35" s="163">
        <v>5746215</v>
      </c>
      <c r="R35" s="163">
        <v>3838549</v>
      </c>
      <c r="S35" s="163">
        <v>27593538</v>
      </c>
      <c r="T35" s="163">
        <v>35742</v>
      </c>
      <c r="U35" s="163">
        <v>1935000</v>
      </c>
      <c r="V35" s="163">
        <v>6643</v>
      </c>
      <c r="W35" s="163">
        <v>7725</v>
      </c>
      <c r="X35" s="163">
        <v>4160</v>
      </c>
      <c r="Y35" s="163">
        <v>133</v>
      </c>
      <c r="Z35" s="163">
        <v>288</v>
      </c>
      <c r="AA35" s="163">
        <v>620</v>
      </c>
      <c r="AB35" s="163">
        <v>10267</v>
      </c>
      <c r="AC35" s="163">
        <v>7649</v>
      </c>
      <c r="AD35" s="163">
        <v>2009</v>
      </c>
      <c r="AE35" s="163">
        <v>38</v>
      </c>
      <c r="AF35" s="163">
        <v>1400</v>
      </c>
      <c r="AG35" s="163">
        <v>26</v>
      </c>
      <c r="AH35" s="163">
        <v>229295000</v>
      </c>
      <c r="AI35" s="163">
        <v>233411000</v>
      </c>
    </row>
    <row r="36" spans="1:35" x14ac:dyDescent="0.2">
      <c r="A36" t="s">
        <v>631</v>
      </c>
      <c r="B36" t="s">
        <v>227</v>
      </c>
      <c r="C36" s="163">
        <v>63325491.455520011</v>
      </c>
      <c r="D36" s="163">
        <v>37375760.455520011</v>
      </c>
      <c r="E36" s="163">
        <v>21625403</v>
      </c>
      <c r="F36" s="163">
        <v>7796680.0626509096</v>
      </c>
      <c r="G36" s="163">
        <v>6548630.0626509096</v>
      </c>
      <c r="H36" s="163">
        <v>1248050</v>
      </c>
      <c r="I36" s="163">
        <v>6484626.0496418299</v>
      </c>
      <c r="J36" s="163">
        <v>6484626.0496418299</v>
      </c>
      <c r="K36" s="163">
        <v>0</v>
      </c>
      <c r="L36" s="163">
        <v>7344096.5731782904</v>
      </c>
      <c r="M36" s="163">
        <v>424009</v>
      </c>
      <c r="N36" s="163">
        <v>83757</v>
      </c>
      <c r="O36" s="163">
        <v>164937</v>
      </c>
      <c r="P36" s="163">
        <v>6671394</v>
      </c>
      <c r="Q36" s="163">
        <v>3851657</v>
      </c>
      <c r="R36" s="163">
        <v>472671</v>
      </c>
      <c r="S36" s="163">
        <v>8209922</v>
      </c>
      <c r="T36" s="163">
        <v>16945</v>
      </c>
      <c r="U36" s="163">
        <v>141000</v>
      </c>
      <c r="V36" s="163">
        <v>4975</v>
      </c>
      <c r="W36" s="163">
        <v>3435</v>
      </c>
      <c r="X36" s="163">
        <v>3</v>
      </c>
      <c r="Y36" s="163">
        <v>0</v>
      </c>
      <c r="Z36" s="163">
        <v>285</v>
      </c>
      <c r="AA36" s="163">
        <v>4</v>
      </c>
      <c r="AB36" s="163">
        <v>6010</v>
      </c>
      <c r="AC36" s="163">
        <v>3394</v>
      </c>
      <c r="AD36" s="163">
        <v>669</v>
      </c>
      <c r="AE36" s="163">
        <v>260</v>
      </c>
      <c r="AF36" s="163">
        <v>785</v>
      </c>
      <c r="AG36" s="163">
        <v>81</v>
      </c>
      <c r="AH36" s="163">
        <v>99286000</v>
      </c>
      <c r="AI36" s="163">
        <v>98985000</v>
      </c>
    </row>
    <row r="37" spans="1:35" x14ac:dyDescent="0.2">
      <c r="A37" t="s">
        <v>629</v>
      </c>
      <c r="B37" t="s">
        <v>422</v>
      </c>
      <c r="C37" s="163">
        <v>36594069.844899446</v>
      </c>
      <c r="D37" s="163">
        <v>21744658.844899446</v>
      </c>
      <c r="E37" s="163">
        <v>12690959</v>
      </c>
      <c r="F37" s="163">
        <v>4590667.4560195999</v>
      </c>
      <c r="G37" s="163">
        <v>4159932.4560195999</v>
      </c>
      <c r="H37" s="163">
        <v>430735</v>
      </c>
      <c r="I37" s="163">
        <v>3476873.95747934</v>
      </c>
      <c r="J37" s="163">
        <v>3476873.95747934</v>
      </c>
      <c r="K37" s="163">
        <v>0</v>
      </c>
      <c r="L37" s="163">
        <v>4623417.7567341803</v>
      </c>
      <c r="M37" s="163">
        <v>74121</v>
      </c>
      <c r="N37" s="163">
        <v>46066</v>
      </c>
      <c r="O37" s="163">
        <v>160519</v>
      </c>
      <c r="P37" s="163">
        <v>4342712</v>
      </c>
      <c r="Q37" s="163">
        <v>1958601</v>
      </c>
      <c r="R37" s="163">
        <v>199851</v>
      </c>
      <c r="S37" s="163">
        <v>3981162</v>
      </c>
      <c r="T37" s="163">
        <v>1138</v>
      </c>
      <c r="U37" s="163">
        <v>123000</v>
      </c>
      <c r="V37" s="163">
        <v>4274</v>
      </c>
      <c r="W37" s="163">
        <v>2342</v>
      </c>
      <c r="X37" s="163">
        <v>0</v>
      </c>
      <c r="Y37" s="163">
        <v>0</v>
      </c>
      <c r="Z37" s="163">
        <v>94</v>
      </c>
      <c r="AA37" s="163">
        <v>26</v>
      </c>
      <c r="AB37" s="163">
        <v>2265</v>
      </c>
      <c r="AC37" s="163">
        <v>2036</v>
      </c>
      <c r="AD37" s="163">
        <v>626</v>
      </c>
      <c r="AE37" s="163">
        <v>76</v>
      </c>
      <c r="AF37" s="163">
        <v>942</v>
      </c>
      <c r="AG37" s="163">
        <v>152</v>
      </c>
      <c r="AH37" s="163">
        <v>66981000</v>
      </c>
      <c r="AI37" s="163">
        <v>66456000</v>
      </c>
    </row>
    <row r="38" spans="1:35" x14ac:dyDescent="0.2">
      <c r="A38" t="s">
        <v>629</v>
      </c>
      <c r="B38" t="s">
        <v>423</v>
      </c>
      <c r="C38" s="163">
        <v>35430876.373254836</v>
      </c>
      <c r="D38" s="163">
        <v>21917864.373254836</v>
      </c>
      <c r="E38" s="163">
        <v>11380635</v>
      </c>
      <c r="F38" s="163">
        <v>4714904.9301945996</v>
      </c>
      <c r="G38" s="163">
        <v>4217256.9301945996</v>
      </c>
      <c r="H38" s="163">
        <v>497648</v>
      </c>
      <c r="I38" s="163">
        <v>3302859.24122555</v>
      </c>
      <c r="J38" s="163">
        <v>3302859.24122555</v>
      </c>
      <c r="K38" s="163">
        <v>0</v>
      </c>
      <c r="L38" s="163">
        <v>3362870.6346808798</v>
      </c>
      <c r="M38" s="163">
        <v>282353</v>
      </c>
      <c r="N38" s="163">
        <v>39087</v>
      </c>
      <c r="O38" s="163">
        <v>114867</v>
      </c>
      <c r="P38" s="163">
        <v>2926564</v>
      </c>
      <c r="Q38" s="163">
        <v>1929675</v>
      </c>
      <c r="R38" s="163">
        <v>202702</v>
      </c>
      <c r="S38" s="163">
        <v>5474805</v>
      </c>
      <c r="T38" s="163">
        <v>2279</v>
      </c>
      <c r="U38" s="163">
        <v>281000</v>
      </c>
      <c r="V38" s="163">
        <v>3254</v>
      </c>
      <c r="W38" s="163">
        <v>2159</v>
      </c>
      <c r="X38" s="163">
        <v>0</v>
      </c>
      <c r="Y38" s="163">
        <v>93</v>
      </c>
      <c r="Z38" s="163">
        <v>14</v>
      </c>
      <c r="AA38" s="163">
        <v>64</v>
      </c>
      <c r="AB38" s="163">
        <v>2263</v>
      </c>
      <c r="AC38" s="163">
        <v>2924</v>
      </c>
      <c r="AD38" s="163">
        <v>551</v>
      </c>
      <c r="AE38" s="163">
        <v>4</v>
      </c>
      <c r="AF38" s="163">
        <v>750</v>
      </c>
      <c r="AG38" s="163">
        <v>434</v>
      </c>
      <c r="AH38" s="163">
        <v>64919000</v>
      </c>
      <c r="AI38" s="163">
        <v>67595000</v>
      </c>
    </row>
    <row r="39" spans="1:35" x14ac:dyDescent="0.2">
      <c r="A39" t="s">
        <v>631</v>
      </c>
      <c r="B39" t="s">
        <v>228</v>
      </c>
      <c r="C39" s="163">
        <v>31278579.491584983</v>
      </c>
      <c r="D39" s="163">
        <v>18719237.491584983</v>
      </c>
      <c r="E39" s="163">
        <v>10694762</v>
      </c>
      <c r="F39" s="163">
        <v>4451453.2581299599</v>
      </c>
      <c r="G39" s="163">
        <v>3918207.2581299599</v>
      </c>
      <c r="H39" s="163">
        <v>533246</v>
      </c>
      <c r="I39" s="163">
        <v>2929833.6953695901</v>
      </c>
      <c r="J39" s="163">
        <v>2929833.6953695901</v>
      </c>
      <c r="K39" s="163">
        <v>0</v>
      </c>
      <c r="L39" s="163">
        <v>3313475.3237715201</v>
      </c>
      <c r="M39" s="163">
        <v>310689</v>
      </c>
      <c r="N39" s="163">
        <v>36295</v>
      </c>
      <c r="O39" s="163">
        <v>95722</v>
      </c>
      <c r="P39" s="163">
        <v>2870769</v>
      </c>
      <c r="Q39" s="163">
        <v>1599546</v>
      </c>
      <c r="R39" s="163">
        <v>265034</v>
      </c>
      <c r="S39" s="163">
        <v>5697887</v>
      </c>
      <c r="T39" s="163">
        <v>8217</v>
      </c>
      <c r="U39" s="163">
        <v>101000</v>
      </c>
      <c r="V39" s="163">
        <v>4393</v>
      </c>
      <c r="W39" s="163">
        <v>2905</v>
      </c>
      <c r="X39" s="163">
        <v>0</v>
      </c>
      <c r="Y39" s="163">
        <v>426</v>
      </c>
      <c r="Z39" s="163">
        <v>95</v>
      </c>
      <c r="AA39" s="163">
        <v>294</v>
      </c>
      <c r="AB39" s="163">
        <v>2365</v>
      </c>
      <c r="AC39" s="163">
        <v>2108</v>
      </c>
      <c r="AD39" s="163">
        <v>476</v>
      </c>
      <c r="AE39" s="163">
        <v>38</v>
      </c>
      <c r="AF39" s="163">
        <v>660</v>
      </c>
      <c r="AG39" s="163">
        <v>44</v>
      </c>
      <c r="AH39" s="163">
        <v>54766000</v>
      </c>
      <c r="AI39" s="163">
        <v>54019000</v>
      </c>
    </row>
    <row r="40" spans="1:35" x14ac:dyDescent="0.2">
      <c r="A40" t="s">
        <v>630</v>
      </c>
      <c r="B40" t="s">
        <v>306</v>
      </c>
      <c r="C40" s="163">
        <v>61893567.695274837</v>
      </c>
      <c r="D40" s="163">
        <v>38667073.695274837</v>
      </c>
      <c r="E40" s="163">
        <v>19633825</v>
      </c>
      <c r="F40" s="163">
        <v>8806437.0447022803</v>
      </c>
      <c r="G40" s="163">
        <v>7946151.0447022803</v>
      </c>
      <c r="H40" s="163">
        <v>860286</v>
      </c>
      <c r="I40" s="163">
        <v>5078874.1496829698</v>
      </c>
      <c r="J40" s="163">
        <v>5078874.1496829698</v>
      </c>
      <c r="K40" s="163">
        <v>0</v>
      </c>
      <c r="L40" s="163">
        <v>5748513.62529404</v>
      </c>
      <c r="M40" s="163">
        <v>1058999</v>
      </c>
      <c r="N40" s="163">
        <v>87945</v>
      </c>
      <c r="O40" s="163">
        <v>187027</v>
      </c>
      <c r="P40" s="163">
        <v>4414543</v>
      </c>
      <c r="Q40" s="163">
        <v>3152660</v>
      </c>
      <c r="R40" s="163">
        <v>440009</v>
      </c>
      <c r="S40" s="163">
        <v>14526089</v>
      </c>
      <c r="T40" s="163">
        <v>748</v>
      </c>
      <c r="U40" s="163">
        <v>498000</v>
      </c>
      <c r="V40" s="163">
        <v>4356</v>
      </c>
      <c r="W40" s="163">
        <v>4245</v>
      </c>
      <c r="X40" s="163">
        <v>1418</v>
      </c>
      <c r="Y40" s="163">
        <v>1071</v>
      </c>
      <c r="Z40" s="163">
        <v>157</v>
      </c>
      <c r="AA40" s="163">
        <v>186</v>
      </c>
      <c r="AB40" s="163">
        <v>4142</v>
      </c>
      <c r="AC40" s="163">
        <v>4693</v>
      </c>
      <c r="AD40" s="163">
        <v>668</v>
      </c>
      <c r="AE40" s="163">
        <v>517</v>
      </c>
      <c r="AF40" s="163">
        <v>492</v>
      </c>
      <c r="AG40" s="163">
        <v>782</v>
      </c>
      <c r="AH40" s="163">
        <v>102835000</v>
      </c>
      <c r="AI40" s="163">
        <v>104845000</v>
      </c>
    </row>
    <row r="41" spans="1:35" x14ac:dyDescent="0.2">
      <c r="A41" t="s">
        <v>633</v>
      </c>
      <c r="B41" t="s">
        <v>350</v>
      </c>
      <c r="C41" s="163">
        <v>31622688.943605416</v>
      </c>
      <c r="D41" s="163">
        <v>21066351.943605416</v>
      </c>
      <c r="E41" s="163">
        <v>8283178</v>
      </c>
      <c r="F41" s="163">
        <v>3734139.4620323698</v>
      </c>
      <c r="G41" s="163">
        <v>3242309.4620323698</v>
      </c>
      <c r="H41" s="163">
        <v>491830</v>
      </c>
      <c r="I41" s="163">
        <v>3374868.39312428</v>
      </c>
      <c r="J41" s="163">
        <v>3374868.39312428</v>
      </c>
      <c r="K41" s="163">
        <v>0</v>
      </c>
      <c r="L41" s="163">
        <v>1174170.322435</v>
      </c>
      <c r="M41" s="163">
        <v>69651</v>
      </c>
      <c r="N41" s="163">
        <v>47462</v>
      </c>
      <c r="O41" s="163">
        <v>72160</v>
      </c>
      <c r="P41" s="163">
        <v>984897</v>
      </c>
      <c r="Q41" s="163">
        <v>1999505</v>
      </c>
      <c r="R41" s="163">
        <v>273654</v>
      </c>
      <c r="S41" s="163">
        <v>3448732</v>
      </c>
      <c r="T41" s="163">
        <v>3955</v>
      </c>
      <c r="U41" s="163">
        <v>224000</v>
      </c>
      <c r="V41" s="163">
        <v>2909</v>
      </c>
      <c r="W41" s="163">
        <v>2266</v>
      </c>
      <c r="X41" s="163">
        <v>0</v>
      </c>
      <c r="Y41" s="163">
        <v>1674</v>
      </c>
      <c r="Z41" s="163">
        <v>18</v>
      </c>
      <c r="AA41" s="163">
        <v>227</v>
      </c>
      <c r="AB41" s="163">
        <v>2365</v>
      </c>
      <c r="AC41" s="163">
        <v>0</v>
      </c>
      <c r="AD41" s="163">
        <v>481</v>
      </c>
      <c r="AE41" s="163">
        <v>350</v>
      </c>
      <c r="AF41" s="163">
        <v>856</v>
      </c>
      <c r="AG41" s="163">
        <v>226</v>
      </c>
      <c r="AH41" s="163">
        <v>52615000</v>
      </c>
      <c r="AI41" s="163">
        <v>51573000</v>
      </c>
    </row>
    <row r="42" spans="1:35" x14ac:dyDescent="0.2">
      <c r="A42" t="s">
        <v>629</v>
      </c>
      <c r="B42" t="s">
        <v>424</v>
      </c>
      <c r="C42" s="163">
        <v>28115848.193988156</v>
      </c>
      <c r="D42" s="163">
        <v>15908096.193988156</v>
      </c>
      <c r="E42" s="163">
        <v>10646675</v>
      </c>
      <c r="F42" s="163">
        <v>2885003.5389268198</v>
      </c>
      <c r="G42" s="163">
        <v>2662212.5389268198</v>
      </c>
      <c r="H42" s="163">
        <v>222791</v>
      </c>
      <c r="I42" s="163">
        <v>2399405.45222351</v>
      </c>
      <c r="J42" s="163">
        <v>2399405.45222351</v>
      </c>
      <c r="K42" s="163">
        <v>0</v>
      </c>
      <c r="L42" s="163">
        <v>5362265.8982969504</v>
      </c>
      <c r="M42" s="163">
        <v>49875</v>
      </c>
      <c r="N42" s="163">
        <v>18147</v>
      </c>
      <c r="O42" s="163">
        <v>116340</v>
      </c>
      <c r="P42" s="163">
        <v>5177904</v>
      </c>
      <c r="Q42" s="163">
        <v>1394574</v>
      </c>
      <c r="R42" s="163">
        <v>166503</v>
      </c>
      <c r="S42" s="163">
        <v>2183448</v>
      </c>
      <c r="T42" s="163">
        <v>5672</v>
      </c>
      <c r="U42" s="163">
        <v>58000</v>
      </c>
      <c r="V42" s="163">
        <v>2377</v>
      </c>
      <c r="W42" s="163">
        <v>1514</v>
      </c>
      <c r="X42" s="163">
        <v>5</v>
      </c>
      <c r="Y42" s="163">
        <v>0</v>
      </c>
      <c r="Z42" s="163">
        <v>1066</v>
      </c>
      <c r="AA42" s="163">
        <v>75</v>
      </c>
      <c r="AB42" s="163">
        <v>2357</v>
      </c>
      <c r="AC42" s="163">
        <v>1206</v>
      </c>
      <c r="AD42" s="163">
        <v>234</v>
      </c>
      <c r="AE42" s="163">
        <v>0</v>
      </c>
      <c r="AF42" s="163">
        <v>731</v>
      </c>
      <c r="AG42" s="163">
        <v>70</v>
      </c>
      <c r="AH42" s="163">
        <v>41960000</v>
      </c>
      <c r="AI42" s="163">
        <v>41979000</v>
      </c>
    </row>
    <row r="43" spans="1:35" x14ac:dyDescent="0.2">
      <c r="A43" t="s">
        <v>630</v>
      </c>
      <c r="B43" t="s">
        <v>307</v>
      </c>
      <c r="C43" s="163">
        <v>8949909.9021361601</v>
      </c>
      <c r="D43" s="163">
        <v>6259751.9021361601</v>
      </c>
      <c r="E43" s="163">
        <v>2099469</v>
      </c>
      <c r="F43" s="163">
        <v>903024.88212870504</v>
      </c>
      <c r="G43" s="163">
        <v>837851.88212870504</v>
      </c>
      <c r="H43" s="163">
        <v>65173</v>
      </c>
      <c r="I43" s="163">
        <v>950194.45799546596</v>
      </c>
      <c r="J43" s="163">
        <v>950194.45799546596</v>
      </c>
      <c r="K43" s="163">
        <v>0</v>
      </c>
      <c r="L43" s="163">
        <v>246249.41059527299</v>
      </c>
      <c r="M43" s="163">
        <v>41829</v>
      </c>
      <c r="N43" s="163">
        <v>2792</v>
      </c>
      <c r="O43" s="163">
        <v>5891</v>
      </c>
      <c r="P43" s="163">
        <v>195738</v>
      </c>
      <c r="Q43" s="163">
        <v>512301</v>
      </c>
      <c r="R43" s="163">
        <v>78388</v>
      </c>
      <c r="S43" s="163">
        <v>1576723</v>
      </c>
      <c r="T43" s="163">
        <v>246</v>
      </c>
      <c r="U43" s="163">
        <v>58000</v>
      </c>
      <c r="V43" s="163">
        <v>3450</v>
      </c>
      <c r="W43" s="163">
        <v>876</v>
      </c>
      <c r="X43" s="163">
        <v>0</v>
      </c>
      <c r="Y43" s="163">
        <v>766</v>
      </c>
      <c r="Z43" s="163">
        <v>22</v>
      </c>
      <c r="AA43" s="163">
        <v>2</v>
      </c>
      <c r="AB43" s="163">
        <v>1039</v>
      </c>
      <c r="AC43" s="163">
        <v>1076</v>
      </c>
      <c r="AD43" s="163">
        <v>202</v>
      </c>
      <c r="AE43" s="163">
        <v>185</v>
      </c>
      <c r="AF43" s="163">
        <v>1057</v>
      </c>
      <c r="AG43" s="163">
        <v>61</v>
      </c>
      <c r="AH43" s="163">
        <v>28097000</v>
      </c>
      <c r="AI43" s="163">
        <v>28139000</v>
      </c>
    </row>
    <row r="44" spans="1:35" x14ac:dyDescent="0.2">
      <c r="A44" t="s">
        <v>630</v>
      </c>
      <c r="B44" t="s">
        <v>308</v>
      </c>
      <c r="C44" s="163">
        <v>19945892.366469715</v>
      </c>
      <c r="D44" s="163">
        <v>13568307.366469715</v>
      </c>
      <c r="E44" s="163">
        <v>5065117</v>
      </c>
      <c r="F44" s="163">
        <v>2165949.77012731</v>
      </c>
      <c r="G44" s="163">
        <v>2059191.77012731</v>
      </c>
      <c r="H44" s="163">
        <v>106758</v>
      </c>
      <c r="I44" s="163">
        <v>2062535.4500413099</v>
      </c>
      <c r="J44" s="163">
        <v>2062535.4500413099</v>
      </c>
      <c r="K44" s="163">
        <v>0</v>
      </c>
      <c r="L44" s="163">
        <v>836631.34807847196</v>
      </c>
      <c r="M44" s="163">
        <v>48933</v>
      </c>
      <c r="N44" s="163">
        <v>20939</v>
      </c>
      <c r="O44" s="163">
        <v>38289</v>
      </c>
      <c r="P44" s="163">
        <v>728470</v>
      </c>
      <c r="Q44" s="163">
        <v>1120481</v>
      </c>
      <c r="R44" s="163">
        <v>191987</v>
      </c>
      <c r="S44" s="163">
        <v>2573620</v>
      </c>
      <c r="T44" s="163">
        <v>3215</v>
      </c>
      <c r="U44" s="163">
        <v>52000</v>
      </c>
      <c r="V44" s="163">
        <v>6501</v>
      </c>
      <c r="W44" s="163">
        <v>1262</v>
      </c>
      <c r="X44" s="163">
        <v>1291</v>
      </c>
      <c r="Y44" s="163">
        <v>815</v>
      </c>
      <c r="Z44" s="163">
        <v>893</v>
      </c>
      <c r="AA44" s="163">
        <v>1</v>
      </c>
      <c r="AB44" s="163">
        <v>2757</v>
      </c>
      <c r="AC44" s="163">
        <v>2719</v>
      </c>
      <c r="AD44" s="163">
        <v>520</v>
      </c>
      <c r="AE44" s="163">
        <v>341</v>
      </c>
      <c r="AF44" s="163">
        <v>788</v>
      </c>
      <c r="AG44" s="163">
        <v>37</v>
      </c>
      <c r="AH44" s="163">
        <v>45078000</v>
      </c>
      <c r="AI44" s="163">
        <v>46227000</v>
      </c>
    </row>
    <row r="45" spans="1:35" x14ac:dyDescent="0.2">
      <c r="A45" t="s">
        <v>633</v>
      </c>
      <c r="B45" t="s">
        <v>351</v>
      </c>
      <c r="C45" s="163">
        <v>37726515.960751578</v>
      </c>
      <c r="D45" s="163">
        <v>26027144.960751578</v>
      </c>
      <c r="E45" s="163">
        <v>9417353</v>
      </c>
      <c r="F45" s="163">
        <v>4750235.7832187898</v>
      </c>
      <c r="G45" s="163">
        <v>4136085.7832187898</v>
      </c>
      <c r="H45" s="163">
        <v>614150</v>
      </c>
      <c r="I45" s="163">
        <v>3345676.9455575701</v>
      </c>
      <c r="J45" s="163">
        <v>3345676.9455575701</v>
      </c>
      <c r="K45" s="163">
        <v>0</v>
      </c>
      <c r="L45" s="163">
        <v>1321440.3548361701</v>
      </c>
      <c r="M45" s="163">
        <v>81825</v>
      </c>
      <c r="N45" s="163">
        <v>47462</v>
      </c>
      <c r="O45" s="163">
        <v>75105</v>
      </c>
      <c r="P45" s="163">
        <v>1117048</v>
      </c>
      <c r="Q45" s="163">
        <v>1960903</v>
      </c>
      <c r="R45" s="163">
        <v>321115</v>
      </c>
      <c r="S45" s="163">
        <v>4220331</v>
      </c>
      <c r="T45" s="163">
        <v>6758</v>
      </c>
      <c r="U45" s="163">
        <v>377000</v>
      </c>
      <c r="V45" s="163">
        <v>5891</v>
      </c>
      <c r="W45" s="163">
        <v>2668</v>
      </c>
      <c r="X45" s="163">
        <v>12</v>
      </c>
      <c r="Y45" s="163">
        <v>891</v>
      </c>
      <c r="Z45" s="163">
        <v>229</v>
      </c>
      <c r="AA45" s="163">
        <v>385</v>
      </c>
      <c r="AB45" s="163">
        <v>4553</v>
      </c>
      <c r="AC45" s="163">
        <v>4259</v>
      </c>
      <c r="AD45" s="163">
        <v>536</v>
      </c>
      <c r="AE45" s="163">
        <v>388</v>
      </c>
      <c r="AF45" s="163">
        <v>1485</v>
      </c>
      <c r="AG45" s="163">
        <v>105</v>
      </c>
      <c r="AH45" s="163">
        <v>62788000</v>
      </c>
      <c r="AI45" s="163">
        <v>62303000</v>
      </c>
    </row>
    <row r="46" spans="1:35" x14ac:dyDescent="0.2">
      <c r="A46" t="s">
        <v>629</v>
      </c>
      <c r="B46" t="s">
        <v>425</v>
      </c>
      <c r="C46" s="163">
        <v>12662476.039354306</v>
      </c>
      <c r="D46" s="163">
        <v>7686740.0393543057</v>
      </c>
      <c r="E46" s="163">
        <v>4232052</v>
      </c>
      <c r="F46" s="163">
        <v>1680987.85542223</v>
      </c>
      <c r="G46" s="163">
        <v>1620308.85542223</v>
      </c>
      <c r="H46" s="163">
        <v>60679</v>
      </c>
      <c r="I46" s="163">
        <v>1197794.3396745201</v>
      </c>
      <c r="J46" s="163">
        <v>1197794.3396745201</v>
      </c>
      <c r="K46" s="163">
        <v>0</v>
      </c>
      <c r="L46" s="163">
        <v>1353269.43717433</v>
      </c>
      <c r="M46" s="163">
        <v>25993</v>
      </c>
      <c r="N46" s="163">
        <v>13959</v>
      </c>
      <c r="O46" s="163">
        <v>61851</v>
      </c>
      <c r="P46" s="163">
        <v>1251465</v>
      </c>
      <c r="Q46" s="163">
        <v>648509</v>
      </c>
      <c r="R46" s="163">
        <v>95175</v>
      </c>
      <c r="S46" s="163">
        <v>1139844</v>
      </c>
      <c r="T46" s="163">
        <v>0</v>
      </c>
      <c r="U46" s="163">
        <v>114000</v>
      </c>
      <c r="V46" s="163">
        <v>1500</v>
      </c>
      <c r="W46" s="163">
        <v>941</v>
      </c>
      <c r="X46" s="163">
        <v>0</v>
      </c>
      <c r="Y46" s="163">
        <v>0</v>
      </c>
      <c r="Z46" s="163">
        <v>40</v>
      </c>
      <c r="AA46" s="163">
        <v>0</v>
      </c>
      <c r="AB46" s="163">
        <v>760</v>
      </c>
      <c r="AC46" s="163">
        <v>623</v>
      </c>
      <c r="AD46" s="163">
        <v>189</v>
      </c>
      <c r="AE46" s="163">
        <v>102</v>
      </c>
      <c r="AF46" s="163">
        <v>359</v>
      </c>
      <c r="AG46" s="163">
        <v>87</v>
      </c>
      <c r="AH46" s="163">
        <v>22938000</v>
      </c>
      <c r="AI46" s="163">
        <v>22933000</v>
      </c>
    </row>
    <row r="47" spans="1:35" x14ac:dyDescent="0.2">
      <c r="A47" t="s">
        <v>628</v>
      </c>
      <c r="B47" t="s">
        <v>145</v>
      </c>
      <c r="C47" s="163">
        <v>40433827.626607761</v>
      </c>
      <c r="D47" s="163">
        <v>23182531.626607761</v>
      </c>
      <c r="E47" s="163">
        <v>14709353</v>
      </c>
      <c r="F47" s="163">
        <v>5525085.6976794498</v>
      </c>
      <c r="G47" s="163">
        <v>4161716.6976794498</v>
      </c>
      <c r="H47" s="163">
        <v>1363369</v>
      </c>
      <c r="I47" s="163">
        <v>3781975.31687873</v>
      </c>
      <c r="J47" s="163">
        <v>3781975.31687873</v>
      </c>
      <c r="K47" s="163">
        <v>0</v>
      </c>
      <c r="L47" s="163">
        <v>5402292.01173958</v>
      </c>
      <c r="M47" s="163">
        <v>695893</v>
      </c>
      <c r="N47" s="163">
        <v>65610</v>
      </c>
      <c r="O47" s="163">
        <v>135484</v>
      </c>
      <c r="P47" s="163">
        <v>4505305</v>
      </c>
      <c r="Q47" s="163">
        <v>2184888</v>
      </c>
      <c r="R47" s="163">
        <v>357055</v>
      </c>
      <c r="S47" s="163">
        <v>6573577</v>
      </c>
      <c r="T47" s="163">
        <v>10399</v>
      </c>
      <c r="U47" s="163">
        <v>101000</v>
      </c>
      <c r="V47" s="163">
        <v>4473</v>
      </c>
      <c r="W47" s="163">
        <v>1242</v>
      </c>
      <c r="X47" s="163">
        <v>0</v>
      </c>
      <c r="Y47" s="163">
        <v>0</v>
      </c>
      <c r="Z47" s="163">
        <v>1275</v>
      </c>
      <c r="AA47" s="163">
        <v>120</v>
      </c>
      <c r="AB47" s="163">
        <v>3032</v>
      </c>
      <c r="AC47" s="163">
        <v>1842</v>
      </c>
      <c r="AD47" s="163">
        <v>402</v>
      </c>
      <c r="AE47" s="163">
        <v>150</v>
      </c>
      <c r="AF47" s="163">
        <v>389</v>
      </c>
      <c r="AG47" s="163">
        <v>25</v>
      </c>
      <c r="AH47" s="163">
        <v>60868000</v>
      </c>
      <c r="AI47" s="163">
        <v>60566000</v>
      </c>
    </row>
    <row r="48" spans="1:35" x14ac:dyDescent="0.2">
      <c r="A48" t="s">
        <v>634</v>
      </c>
      <c r="B48" t="s">
        <v>200</v>
      </c>
      <c r="C48" s="163">
        <v>29246369.318176046</v>
      </c>
      <c r="D48" s="163">
        <v>16967968.318176046</v>
      </c>
      <c r="E48" s="163">
        <v>10360962</v>
      </c>
      <c r="F48" s="163">
        <v>4167711.189948</v>
      </c>
      <c r="G48" s="163">
        <v>3513295.189948</v>
      </c>
      <c r="H48" s="163">
        <v>654416</v>
      </c>
      <c r="I48" s="163">
        <v>3109327.33300942</v>
      </c>
      <c r="J48" s="163">
        <v>3109327.33300942</v>
      </c>
      <c r="K48" s="163">
        <v>0</v>
      </c>
      <c r="L48" s="163">
        <v>3083923.4588479102</v>
      </c>
      <c r="M48" s="163">
        <v>252543</v>
      </c>
      <c r="N48" s="163">
        <v>26523</v>
      </c>
      <c r="O48" s="163">
        <v>63324</v>
      </c>
      <c r="P48" s="163">
        <v>2741533</v>
      </c>
      <c r="Q48" s="163">
        <v>1715461</v>
      </c>
      <c r="R48" s="163">
        <v>201978</v>
      </c>
      <c r="S48" s="163">
        <v>4352747</v>
      </c>
      <c r="T48" s="163">
        <v>15577</v>
      </c>
      <c r="U48" s="163">
        <v>75000</v>
      </c>
      <c r="V48" s="163">
        <v>3526</v>
      </c>
      <c r="W48" s="163">
        <v>1748</v>
      </c>
      <c r="X48" s="163">
        <v>10</v>
      </c>
      <c r="Y48" s="163">
        <v>0</v>
      </c>
      <c r="Z48" s="163">
        <v>0</v>
      </c>
      <c r="AA48" s="163">
        <v>272</v>
      </c>
      <c r="AB48" s="163">
        <v>1720</v>
      </c>
      <c r="AC48" s="163">
        <v>2313</v>
      </c>
      <c r="AD48" s="163">
        <v>286</v>
      </c>
      <c r="AE48" s="163">
        <v>112</v>
      </c>
      <c r="AF48" s="163">
        <v>463</v>
      </c>
      <c r="AG48" s="163">
        <v>81</v>
      </c>
      <c r="AH48" s="163">
        <v>67812000</v>
      </c>
      <c r="AI48" s="163">
        <v>68180000</v>
      </c>
    </row>
    <row r="49" spans="1:35" x14ac:dyDescent="0.2">
      <c r="A49" t="s">
        <v>640</v>
      </c>
      <c r="B49" t="s">
        <v>403</v>
      </c>
      <c r="C49" s="163">
        <v>27592042.625707336</v>
      </c>
      <c r="D49" s="163">
        <v>17544952.625707336</v>
      </c>
      <c r="E49" s="163">
        <v>8199750</v>
      </c>
      <c r="F49" s="163">
        <v>3939644.5549216298</v>
      </c>
      <c r="G49" s="163">
        <v>3436545.5549216298</v>
      </c>
      <c r="H49" s="163">
        <v>503099</v>
      </c>
      <c r="I49" s="163">
        <v>2621525.0024175001</v>
      </c>
      <c r="J49" s="163">
        <v>2621525.0024175001</v>
      </c>
      <c r="K49" s="163">
        <v>0</v>
      </c>
      <c r="L49" s="163">
        <v>1638580.5858382599</v>
      </c>
      <c r="M49" s="163">
        <v>100031</v>
      </c>
      <c r="N49" s="163">
        <v>22335</v>
      </c>
      <c r="O49" s="163">
        <v>60379</v>
      </c>
      <c r="P49" s="163">
        <v>1455836</v>
      </c>
      <c r="Q49" s="163">
        <v>1509010</v>
      </c>
      <c r="R49" s="163">
        <v>338330</v>
      </c>
      <c r="S49" s="163">
        <v>2994554</v>
      </c>
      <c r="T49" s="163">
        <v>7671</v>
      </c>
      <c r="U49" s="163">
        <v>59000</v>
      </c>
      <c r="V49" s="163">
        <v>2590</v>
      </c>
      <c r="W49" s="163">
        <v>4807</v>
      </c>
      <c r="X49" s="163">
        <v>0</v>
      </c>
      <c r="Y49" s="163">
        <v>522</v>
      </c>
      <c r="Z49" s="163">
        <v>0</v>
      </c>
      <c r="AA49" s="163">
        <v>156</v>
      </c>
      <c r="AB49" s="163">
        <v>1465</v>
      </c>
      <c r="AC49" s="163">
        <v>2796</v>
      </c>
      <c r="AD49" s="163">
        <v>409</v>
      </c>
      <c r="AE49" s="163">
        <v>274</v>
      </c>
      <c r="AF49" s="163">
        <v>510</v>
      </c>
      <c r="AG49" s="163">
        <v>19</v>
      </c>
      <c r="AH49" s="163">
        <v>47062000</v>
      </c>
      <c r="AI49" s="163">
        <v>47677000</v>
      </c>
    </row>
    <row r="50" spans="1:35" x14ac:dyDescent="0.2">
      <c r="A50" t="s">
        <v>629</v>
      </c>
      <c r="B50" t="s">
        <v>426</v>
      </c>
      <c r="C50" s="163">
        <v>39386321.10679251</v>
      </c>
      <c r="D50" s="163">
        <v>23605853.10679251</v>
      </c>
      <c r="E50" s="163">
        <v>13288898</v>
      </c>
      <c r="F50" s="163">
        <v>4487312.7260455303</v>
      </c>
      <c r="G50" s="163">
        <v>3880415.7260455303</v>
      </c>
      <c r="H50" s="163">
        <v>606897</v>
      </c>
      <c r="I50" s="163">
        <v>3972510.5503361798</v>
      </c>
      <c r="J50" s="163">
        <v>3972510.5503361798</v>
      </c>
      <c r="K50" s="163">
        <v>0</v>
      </c>
      <c r="L50" s="163">
        <v>4829074.8312085401</v>
      </c>
      <c r="M50" s="163">
        <v>187718</v>
      </c>
      <c r="N50" s="163">
        <v>46066</v>
      </c>
      <c r="O50" s="163">
        <v>192917</v>
      </c>
      <c r="P50" s="163">
        <v>4402373</v>
      </c>
      <c r="Q50" s="163">
        <v>2242069</v>
      </c>
      <c r="R50" s="163">
        <v>249501</v>
      </c>
      <c r="S50" s="163">
        <v>4960803</v>
      </c>
      <c r="T50" s="163">
        <v>8840</v>
      </c>
      <c r="U50" s="163">
        <v>75000</v>
      </c>
      <c r="V50" s="163">
        <v>3416</v>
      </c>
      <c r="W50" s="163">
        <v>2622</v>
      </c>
      <c r="X50" s="163">
        <v>8</v>
      </c>
      <c r="Y50" s="163">
        <v>0</v>
      </c>
      <c r="Z50" s="163">
        <v>250</v>
      </c>
      <c r="AA50" s="163">
        <v>136</v>
      </c>
      <c r="AB50" s="163">
        <v>2957</v>
      </c>
      <c r="AC50" s="163">
        <v>1938</v>
      </c>
      <c r="AD50" s="163">
        <v>571</v>
      </c>
      <c r="AE50" s="163">
        <v>75</v>
      </c>
      <c r="AF50" s="163">
        <v>862</v>
      </c>
      <c r="AG50" s="163">
        <v>75</v>
      </c>
      <c r="AH50" s="163">
        <v>60834000</v>
      </c>
      <c r="AI50" s="163">
        <v>61477000</v>
      </c>
    </row>
    <row r="51" spans="1:35" x14ac:dyDescent="0.2">
      <c r="A51" t="s">
        <v>629</v>
      </c>
      <c r="B51" t="s">
        <v>427</v>
      </c>
      <c r="C51" s="163">
        <v>48614908.747803725</v>
      </c>
      <c r="D51" s="163">
        <v>25037342.747803725</v>
      </c>
      <c r="E51" s="163">
        <v>20940552</v>
      </c>
      <c r="F51" s="163">
        <v>8237507.6829978004</v>
      </c>
      <c r="G51" s="163">
        <v>5374929.6829978004</v>
      </c>
      <c r="H51" s="163">
        <v>2862578</v>
      </c>
      <c r="I51" s="163">
        <v>3942204.1462203301</v>
      </c>
      <c r="J51" s="163">
        <v>3942204.1462203301</v>
      </c>
      <c r="K51" s="163">
        <v>0</v>
      </c>
      <c r="L51" s="163">
        <v>8760839.8742529005</v>
      </c>
      <c r="M51" s="163">
        <v>244129</v>
      </c>
      <c r="N51" s="163">
        <v>86549</v>
      </c>
      <c r="O51" s="163">
        <v>343128</v>
      </c>
      <c r="P51" s="163">
        <v>8087034</v>
      </c>
      <c r="Q51" s="163">
        <v>2340427</v>
      </c>
      <c r="R51" s="163">
        <v>296587</v>
      </c>
      <c r="S51" s="163">
        <v>6033283</v>
      </c>
      <c r="T51" s="163">
        <v>3353</v>
      </c>
      <c r="U51" s="163">
        <v>283000</v>
      </c>
      <c r="V51" s="163">
        <v>4097</v>
      </c>
      <c r="W51" s="163">
        <v>2571</v>
      </c>
      <c r="X51" s="163">
        <v>396</v>
      </c>
      <c r="Y51" s="163">
        <v>15</v>
      </c>
      <c r="Z51" s="163">
        <v>27</v>
      </c>
      <c r="AA51" s="163">
        <v>46</v>
      </c>
      <c r="AB51" s="163">
        <v>2893</v>
      </c>
      <c r="AC51" s="163">
        <v>2731</v>
      </c>
      <c r="AD51" s="163">
        <v>519</v>
      </c>
      <c r="AE51" s="163">
        <v>176</v>
      </c>
      <c r="AF51" s="163">
        <v>942</v>
      </c>
      <c r="AG51" s="163">
        <v>127</v>
      </c>
      <c r="AH51" s="163">
        <v>85233000</v>
      </c>
      <c r="AI51" s="163">
        <v>86733000</v>
      </c>
    </row>
    <row r="52" spans="1:35" x14ac:dyDescent="0.2">
      <c r="A52" t="s">
        <v>629</v>
      </c>
      <c r="B52" t="s">
        <v>428</v>
      </c>
      <c r="C52" s="163">
        <v>314919331.25917792</v>
      </c>
      <c r="D52" s="163">
        <v>168792447.25917792</v>
      </c>
      <c r="E52" s="163">
        <v>118965287</v>
      </c>
      <c r="F52" s="163">
        <v>35420014.374938004</v>
      </c>
      <c r="G52" s="163">
        <v>28688847.374938004</v>
      </c>
      <c r="H52" s="163">
        <v>6731167</v>
      </c>
      <c r="I52" s="163">
        <v>53069354.949296497</v>
      </c>
      <c r="J52" s="163">
        <v>22180677.336088095</v>
      </c>
      <c r="K52" s="163">
        <v>30888677.613208402</v>
      </c>
      <c r="L52" s="163">
        <v>30475917.687853701</v>
      </c>
      <c r="M52" s="163">
        <v>5417067</v>
      </c>
      <c r="N52" s="163">
        <v>315484</v>
      </c>
      <c r="O52" s="163">
        <v>792287</v>
      </c>
      <c r="P52" s="163">
        <v>23951080</v>
      </c>
      <c r="Q52" s="163">
        <v>13219840</v>
      </c>
      <c r="R52" s="163">
        <v>13941757</v>
      </c>
      <c r="S52" s="163">
        <v>65764903</v>
      </c>
      <c r="T52" s="163">
        <v>8565</v>
      </c>
      <c r="U52" s="163">
        <v>4253000</v>
      </c>
      <c r="V52" s="163">
        <v>19065</v>
      </c>
      <c r="W52" s="163">
        <v>15781</v>
      </c>
      <c r="X52" s="163">
        <v>14104</v>
      </c>
      <c r="Y52" s="163">
        <v>1064</v>
      </c>
      <c r="Z52" s="163">
        <v>750</v>
      </c>
      <c r="AA52" s="163">
        <v>1795</v>
      </c>
      <c r="AB52" s="163">
        <v>16773</v>
      </c>
      <c r="AC52" s="163">
        <v>20915</v>
      </c>
      <c r="AD52" s="163">
        <v>3284</v>
      </c>
      <c r="AE52" s="163">
        <v>0</v>
      </c>
      <c r="AF52" s="163">
        <v>4678</v>
      </c>
      <c r="AG52" s="163">
        <v>782</v>
      </c>
      <c r="AH52" s="163">
        <v>603810000</v>
      </c>
      <c r="AI52" s="163">
        <v>606738000</v>
      </c>
    </row>
    <row r="53" spans="1:35" x14ac:dyDescent="0.2">
      <c r="A53" t="s">
        <v>633</v>
      </c>
      <c r="B53" t="s">
        <v>352</v>
      </c>
      <c r="C53" s="163">
        <v>18899815.978947416</v>
      </c>
      <c r="D53" s="163">
        <v>13399856.978947416</v>
      </c>
      <c r="E53" s="163">
        <v>4246947</v>
      </c>
      <c r="F53" s="163">
        <v>2157572.0318484302</v>
      </c>
      <c r="G53" s="163">
        <v>2019984.0318484302</v>
      </c>
      <c r="H53" s="163">
        <v>137588</v>
      </c>
      <c r="I53" s="163">
        <v>1884747.0449053701</v>
      </c>
      <c r="J53" s="163">
        <v>1884747.0449053701</v>
      </c>
      <c r="K53" s="163">
        <v>0</v>
      </c>
      <c r="L53" s="163">
        <v>204627.92876099399</v>
      </c>
      <c r="M53" s="163">
        <v>154159</v>
      </c>
      <c r="N53" s="163">
        <v>19543</v>
      </c>
      <c r="O53" s="163">
        <v>30926</v>
      </c>
      <c r="P53" s="163">
        <v>0</v>
      </c>
      <c r="Q53" s="163">
        <v>1116549</v>
      </c>
      <c r="R53" s="163">
        <v>136463</v>
      </c>
      <c r="S53" s="163">
        <v>2966737</v>
      </c>
      <c r="T53" s="163">
        <v>0</v>
      </c>
      <c r="U53" s="163">
        <v>52000</v>
      </c>
      <c r="V53" s="163">
        <v>1862</v>
      </c>
      <c r="W53" s="163">
        <v>659</v>
      </c>
      <c r="X53" s="163">
        <v>11</v>
      </c>
      <c r="Y53" s="163">
        <v>73</v>
      </c>
      <c r="Z53" s="163">
        <v>291</v>
      </c>
      <c r="AA53" s="163">
        <v>198</v>
      </c>
      <c r="AB53" s="163">
        <v>1861</v>
      </c>
      <c r="AC53" s="163">
        <v>1229</v>
      </c>
      <c r="AD53" s="163">
        <v>309</v>
      </c>
      <c r="AE53" s="163">
        <v>97</v>
      </c>
      <c r="AF53" s="163">
        <v>161</v>
      </c>
      <c r="AG53" s="163">
        <v>48</v>
      </c>
      <c r="AH53" s="163">
        <v>38618000</v>
      </c>
      <c r="AI53" s="163">
        <v>42899000</v>
      </c>
    </row>
    <row r="54" spans="1:35" x14ac:dyDescent="0.2">
      <c r="A54" t="s">
        <v>631</v>
      </c>
      <c r="B54" t="s">
        <v>229</v>
      </c>
      <c r="C54" s="163">
        <v>46886521.074363753</v>
      </c>
      <c r="D54" s="163">
        <v>28541572.074363753</v>
      </c>
      <c r="E54" s="163">
        <v>14932695</v>
      </c>
      <c r="F54" s="163">
        <v>5740713.8944591796</v>
      </c>
      <c r="G54" s="163">
        <v>4728666.8944591796</v>
      </c>
      <c r="H54" s="163">
        <v>1012047</v>
      </c>
      <c r="I54" s="163">
        <v>5037560.9797019297</v>
      </c>
      <c r="J54" s="163">
        <v>5037560.9797019297</v>
      </c>
      <c r="K54" s="163">
        <v>0</v>
      </c>
      <c r="L54" s="163">
        <v>4154420.11933826</v>
      </c>
      <c r="M54" s="163">
        <v>154034</v>
      </c>
      <c r="N54" s="163">
        <v>54442</v>
      </c>
      <c r="O54" s="163">
        <v>131066</v>
      </c>
      <c r="P54" s="163">
        <v>3814879</v>
      </c>
      <c r="Q54" s="163">
        <v>3099940</v>
      </c>
      <c r="R54" s="163">
        <v>312314</v>
      </c>
      <c r="S54" s="163">
        <v>5056613</v>
      </c>
      <c r="T54" s="163">
        <v>26024</v>
      </c>
      <c r="U54" s="163">
        <v>51000</v>
      </c>
      <c r="V54" s="163">
        <v>4798</v>
      </c>
      <c r="W54" s="163">
        <v>2421</v>
      </c>
      <c r="X54" s="163">
        <v>0</v>
      </c>
      <c r="Y54" s="163">
        <v>0</v>
      </c>
      <c r="Z54" s="163">
        <v>260</v>
      </c>
      <c r="AA54" s="163">
        <v>137</v>
      </c>
      <c r="AB54" s="163">
        <v>4335</v>
      </c>
      <c r="AC54" s="163">
        <v>3174</v>
      </c>
      <c r="AD54" s="163">
        <v>639</v>
      </c>
      <c r="AE54" s="163">
        <v>209</v>
      </c>
      <c r="AF54" s="163">
        <v>706</v>
      </c>
      <c r="AG54" s="163">
        <v>22</v>
      </c>
      <c r="AH54" s="163">
        <v>70121000</v>
      </c>
      <c r="AI54" s="163">
        <v>70263000</v>
      </c>
    </row>
    <row r="55" spans="1:35" x14ac:dyDescent="0.2">
      <c r="A55" t="s">
        <v>631</v>
      </c>
      <c r="B55" t="s">
        <v>230</v>
      </c>
      <c r="C55" s="163">
        <v>27329320.242935568</v>
      </c>
      <c r="D55" s="163">
        <v>16145500.242935568</v>
      </c>
      <c r="E55" s="163">
        <v>9152122</v>
      </c>
      <c r="F55" s="163">
        <v>3982633.75869714</v>
      </c>
      <c r="G55" s="163">
        <v>3394580.75869714</v>
      </c>
      <c r="H55" s="163">
        <v>588053</v>
      </c>
      <c r="I55" s="163">
        <v>2955097.5774555402</v>
      </c>
      <c r="J55" s="163">
        <v>2955097.5774555402</v>
      </c>
      <c r="K55" s="163">
        <v>0</v>
      </c>
      <c r="L55" s="163">
        <v>2214390.298217</v>
      </c>
      <c r="M55" s="163">
        <v>286539</v>
      </c>
      <c r="N55" s="163">
        <v>34899</v>
      </c>
      <c r="O55" s="163">
        <v>79523</v>
      </c>
      <c r="P55" s="163">
        <v>1813429</v>
      </c>
      <c r="Q55" s="163">
        <v>1851492</v>
      </c>
      <c r="R55" s="163">
        <v>180206</v>
      </c>
      <c r="S55" s="163">
        <v>4141344</v>
      </c>
      <c r="T55" s="163">
        <v>5872</v>
      </c>
      <c r="U55" s="163">
        <v>215000</v>
      </c>
      <c r="V55" s="163">
        <v>2367</v>
      </c>
      <c r="W55" s="163">
        <v>1274</v>
      </c>
      <c r="X55" s="163">
        <v>2</v>
      </c>
      <c r="Y55" s="163">
        <v>0</v>
      </c>
      <c r="Z55" s="163">
        <v>654</v>
      </c>
      <c r="AA55" s="163">
        <v>44</v>
      </c>
      <c r="AB55" s="163">
        <v>2579</v>
      </c>
      <c r="AC55" s="163">
        <v>1481</v>
      </c>
      <c r="AD55" s="163">
        <v>385</v>
      </c>
      <c r="AE55" s="163">
        <v>92</v>
      </c>
      <c r="AF55" s="163">
        <v>515</v>
      </c>
      <c r="AG55" s="163">
        <v>79</v>
      </c>
      <c r="AH55" s="163">
        <v>50523000</v>
      </c>
      <c r="AI55" s="163">
        <v>50474000</v>
      </c>
    </row>
    <row r="56" spans="1:35" x14ac:dyDescent="0.2">
      <c r="A56" t="s">
        <v>638</v>
      </c>
      <c r="B56" t="s">
        <v>481</v>
      </c>
      <c r="C56" s="163">
        <v>55499094.802132167</v>
      </c>
      <c r="D56" s="163">
        <v>26999372.802132167</v>
      </c>
      <c r="E56" s="163">
        <v>24751786</v>
      </c>
      <c r="F56" s="163">
        <v>7756641.0177448001</v>
      </c>
      <c r="G56" s="163">
        <v>7129455.0177448001</v>
      </c>
      <c r="H56" s="163">
        <v>627186</v>
      </c>
      <c r="I56" s="163">
        <v>5425848.8512762897</v>
      </c>
      <c r="J56" s="163">
        <v>5425848.8512762897</v>
      </c>
      <c r="K56" s="163">
        <v>0</v>
      </c>
      <c r="L56" s="163">
        <v>11569296.335075101</v>
      </c>
      <c r="M56" s="163">
        <v>1385176</v>
      </c>
      <c r="N56" s="163">
        <v>78173</v>
      </c>
      <c r="O56" s="163">
        <v>150211</v>
      </c>
      <c r="P56" s="163">
        <v>9955737</v>
      </c>
      <c r="Q56" s="163">
        <v>3323509</v>
      </c>
      <c r="R56" s="163">
        <v>424427</v>
      </c>
      <c r="S56" s="163">
        <v>11850026</v>
      </c>
      <c r="T56" s="163">
        <v>2434</v>
      </c>
      <c r="U56" s="163">
        <v>286000</v>
      </c>
      <c r="V56" s="163">
        <v>3362</v>
      </c>
      <c r="W56" s="163">
        <v>1453</v>
      </c>
      <c r="X56" s="163">
        <v>0</v>
      </c>
      <c r="Y56" s="163">
        <v>22</v>
      </c>
      <c r="Z56" s="163">
        <v>41</v>
      </c>
      <c r="AA56" s="163">
        <v>348</v>
      </c>
      <c r="AB56" s="163">
        <v>4046</v>
      </c>
      <c r="AC56" s="163">
        <v>2731</v>
      </c>
      <c r="AD56" s="163">
        <v>490</v>
      </c>
      <c r="AE56" s="163">
        <v>96</v>
      </c>
      <c r="AF56" s="163">
        <v>419</v>
      </c>
      <c r="AG56" s="163">
        <v>111</v>
      </c>
      <c r="AH56" s="163">
        <v>96506000</v>
      </c>
      <c r="AI56" s="163">
        <v>106455000</v>
      </c>
    </row>
    <row r="57" spans="1:35" x14ac:dyDescent="0.2">
      <c r="A57" t="s">
        <v>636</v>
      </c>
      <c r="B57" t="s">
        <v>278</v>
      </c>
      <c r="C57" s="163">
        <v>14644896.789652206</v>
      </c>
      <c r="D57" s="163">
        <v>9887320.789652206</v>
      </c>
      <c r="E57" s="163">
        <v>3778690</v>
      </c>
      <c r="F57" s="163">
        <v>1864934.8897032</v>
      </c>
      <c r="G57" s="163">
        <v>1438279.8897032</v>
      </c>
      <c r="H57" s="163">
        <v>426655</v>
      </c>
      <c r="I57" s="163">
        <v>1478637.0111124199</v>
      </c>
      <c r="J57" s="163">
        <v>1478637.0111124199</v>
      </c>
      <c r="K57" s="163">
        <v>0</v>
      </c>
      <c r="L57" s="163">
        <v>435118.20883495302</v>
      </c>
      <c r="M57" s="163">
        <v>34910</v>
      </c>
      <c r="N57" s="163">
        <v>11168</v>
      </c>
      <c r="O57" s="163">
        <v>16199</v>
      </c>
      <c r="P57" s="163">
        <v>372842</v>
      </c>
      <c r="Q57" s="163">
        <v>882726</v>
      </c>
      <c r="R57" s="163">
        <v>96160</v>
      </c>
      <c r="S57" s="163">
        <v>2005496</v>
      </c>
      <c r="T57" s="163">
        <v>2372</v>
      </c>
      <c r="U57" s="163">
        <v>0</v>
      </c>
      <c r="V57" s="163">
        <v>3155</v>
      </c>
      <c r="W57" s="163">
        <v>1623</v>
      </c>
      <c r="X57" s="163">
        <v>5</v>
      </c>
      <c r="Y57" s="163">
        <v>0</v>
      </c>
      <c r="Z57" s="163">
        <v>140</v>
      </c>
      <c r="AA57" s="163">
        <v>75</v>
      </c>
      <c r="AB57" s="163">
        <v>1131</v>
      </c>
      <c r="AC57" s="163">
        <v>1261</v>
      </c>
      <c r="AD57" s="163">
        <v>305</v>
      </c>
      <c r="AE57" s="163">
        <v>0</v>
      </c>
      <c r="AF57" s="163">
        <v>1285</v>
      </c>
      <c r="AG57" s="163">
        <v>101</v>
      </c>
      <c r="AH57" s="163">
        <v>28138000</v>
      </c>
      <c r="AI57" s="163">
        <v>29198000</v>
      </c>
    </row>
    <row r="58" spans="1:35" x14ac:dyDescent="0.2">
      <c r="A58" t="s">
        <v>636</v>
      </c>
      <c r="B58" t="s">
        <v>279</v>
      </c>
      <c r="C58" s="163">
        <v>21599315.558445603</v>
      </c>
      <c r="D58" s="163">
        <v>14132203.558445603</v>
      </c>
      <c r="E58" s="163">
        <v>6307773</v>
      </c>
      <c r="F58" s="163">
        <v>3294250.15279123</v>
      </c>
      <c r="G58" s="163">
        <v>2983714.15279123</v>
      </c>
      <c r="H58" s="163">
        <v>310536</v>
      </c>
      <c r="I58" s="163">
        <v>1916927.9864610699</v>
      </c>
      <c r="J58" s="163">
        <v>1916927.9864610699</v>
      </c>
      <c r="K58" s="163">
        <v>0</v>
      </c>
      <c r="L58" s="163">
        <v>1096595.1000723499</v>
      </c>
      <c r="M58" s="163">
        <v>52644</v>
      </c>
      <c r="N58" s="163">
        <v>22335</v>
      </c>
      <c r="O58" s="163">
        <v>27980</v>
      </c>
      <c r="P58" s="163">
        <v>993636</v>
      </c>
      <c r="Q58" s="163">
        <v>1030762</v>
      </c>
      <c r="R58" s="163">
        <v>128577</v>
      </c>
      <c r="S58" s="163">
        <v>2203211</v>
      </c>
      <c r="T58" s="163">
        <v>1398</v>
      </c>
      <c r="U58" s="163">
        <v>335000</v>
      </c>
      <c r="V58" s="163">
        <v>2223</v>
      </c>
      <c r="W58" s="163">
        <v>1524</v>
      </c>
      <c r="X58" s="163">
        <v>10</v>
      </c>
      <c r="Y58" s="163">
        <v>853</v>
      </c>
      <c r="Z58" s="163">
        <v>0</v>
      </c>
      <c r="AA58" s="163">
        <v>198</v>
      </c>
      <c r="AB58" s="163">
        <v>1348</v>
      </c>
      <c r="AC58" s="163">
        <v>1157</v>
      </c>
      <c r="AD58" s="163">
        <v>394</v>
      </c>
      <c r="AE58" s="163">
        <v>359</v>
      </c>
      <c r="AF58" s="163">
        <v>525</v>
      </c>
      <c r="AG58" s="163">
        <v>185</v>
      </c>
      <c r="AH58" s="163">
        <v>42522000</v>
      </c>
      <c r="AI58" s="163">
        <v>41741000</v>
      </c>
    </row>
    <row r="59" spans="1:35" x14ac:dyDescent="0.2">
      <c r="A59" t="s">
        <v>631</v>
      </c>
      <c r="B59" t="s">
        <v>231</v>
      </c>
      <c r="C59" s="163">
        <v>30367248.545562651</v>
      </c>
      <c r="D59" s="163">
        <v>19399129.545562651</v>
      </c>
      <c r="E59" s="163">
        <v>9232612</v>
      </c>
      <c r="F59" s="163">
        <v>3896786.0224386398</v>
      </c>
      <c r="G59" s="163">
        <v>3373148.0224386398</v>
      </c>
      <c r="H59" s="163">
        <v>523638</v>
      </c>
      <c r="I59" s="163">
        <v>2911369.1864453801</v>
      </c>
      <c r="J59" s="163">
        <v>2911369.1864453801</v>
      </c>
      <c r="K59" s="163">
        <v>0</v>
      </c>
      <c r="L59" s="163">
        <v>2424456.6114073899</v>
      </c>
      <c r="M59" s="163">
        <v>66526</v>
      </c>
      <c r="N59" s="163">
        <v>37691</v>
      </c>
      <c r="O59" s="163">
        <v>89832</v>
      </c>
      <c r="P59" s="163">
        <v>2230408</v>
      </c>
      <c r="Q59" s="163">
        <v>1512408</v>
      </c>
      <c r="R59" s="163">
        <v>223099</v>
      </c>
      <c r="S59" s="163">
        <v>3539104</v>
      </c>
      <c r="T59" s="163">
        <v>8652</v>
      </c>
      <c r="U59" s="163">
        <v>0</v>
      </c>
      <c r="V59" s="163">
        <v>3798</v>
      </c>
      <c r="W59" s="163">
        <v>1713</v>
      </c>
      <c r="X59" s="163">
        <v>1</v>
      </c>
      <c r="Y59" s="163">
        <v>1198</v>
      </c>
      <c r="Z59" s="163">
        <v>188</v>
      </c>
      <c r="AA59" s="163">
        <v>208</v>
      </c>
      <c r="AB59" s="163">
        <v>2560</v>
      </c>
      <c r="AC59" s="163">
        <v>0</v>
      </c>
      <c r="AD59" s="163">
        <v>462</v>
      </c>
      <c r="AE59" s="163">
        <v>352</v>
      </c>
      <c r="AF59" s="163">
        <v>925</v>
      </c>
      <c r="AG59" s="163">
        <v>44</v>
      </c>
      <c r="AH59" s="163">
        <v>48472000</v>
      </c>
      <c r="AI59" s="163">
        <v>49211000</v>
      </c>
    </row>
    <row r="60" spans="1:35" x14ac:dyDescent="0.2">
      <c r="A60" t="s">
        <v>633</v>
      </c>
      <c r="B60" t="s">
        <v>353</v>
      </c>
      <c r="C60" s="163">
        <v>108017870.58253583</v>
      </c>
      <c r="D60" s="163">
        <v>67459043.582535833</v>
      </c>
      <c r="E60" s="163">
        <v>34592278</v>
      </c>
      <c r="F60" s="163">
        <v>16468408.463647701</v>
      </c>
      <c r="G60" s="163">
        <v>13982810.463647701</v>
      </c>
      <c r="H60" s="163">
        <v>2485598</v>
      </c>
      <c r="I60" s="163">
        <v>8369465.0274617802</v>
      </c>
      <c r="J60" s="163">
        <v>8369465.0274617802</v>
      </c>
      <c r="K60" s="163">
        <v>0</v>
      </c>
      <c r="L60" s="163">
        <v>9754404.1600117795</v>
      </c>
      <c r="M60" s="163">
        <v>2913020</v>
      </c>
      <c r="N60" s="163">
        <v>167514</v>
      </c>
      <c r="O60" s="163">
        <v>240042</v>
      </c>
      <c r="P60" s="163">
        <v>6433828</v>
      </c>
      <c r="Q60" s="163">
        <v>5135856</v>
      </c>
      <c r="R60" s="163">
        <v>830693</v>
      </c>
      <c r="S60" s="163">
        <v>29610006</v>
      </c>
      <c r="T60" s="163">
        <v>6211</v>
      </c>
      <c r="U60" s="163">
        <v>1137000</v>
      </c>
      <c r="V60" s="163">
        <v>6906</v>
      </c>
      <c r="W60" s="163">
        <v>4673</v>
      </c>
      <c r="X60" s="163">
        <v>0</v>
      </c>
      <c r="Y60" s="163">
        <v>0</v>
      </c>
      <c r="Z60" s="163">
        <v>48</v>
      </c>
      <c r="AA60" s="163">
        <v>641</v>
      </c>
      <c r="AB60" s="163">
        <v>4112</v>
      </c>
      <c r="AC60" s="163">
        <v>6950</v>
      </c>
      <c r="AD60" s="163">
        <v>1280</v>
      </c>
      <c r="AE60" s="163">
        <v>0</v>
      </c>
      <c r="AF60" s="163">
        <v>103</v>
      </c>
      <c r="AG60" s="163">
        <v>143</v>
      </c>
      <c r="AH60" s="163">
        <v>188041000</v>
      </c>
      <c r="AI60" s="163">
        <v>188521000</v>
      </c>
    </row>
    <row r="61" spans="1:35" x14ac:dyDescent="0.2">
      <c r="A61" t="s">
        <v>630</v>
      </c>
      <c r="B61" t="s">
        <v>309</v>
      </c>
      <c r="C61" s="163">
        <v>37761109.376771092</v>
      </c>
      <c r="D61" s="163">
        <v>26009495.376771092</v>
      </c>
      <c r="E61" s="163">
        <v>9149092</v>
      </c>
      <c r="F61" s="163">
        <v>4453842.6440472398</v>
      </c>
      <c r="G61" s="163">
        <v>3959385.6440472398</v>
      </c>
      <c r="H61" s="163">
        <v>494457</v>
      </c>
      <c r="I61" s="163">
        <v>3786145.36773733</v>
      </c>
      <c r="J61" s="163">
        <v>3786145.36773733</v>
      </c>
      <c r="K61" s="163">
        <v>0</v>
      </c>
      <c r="L61" s="163">
        <v>909104.46966824797</v>
      </c>
      <c r="M61" s="163">
        <v>82865</v>
      </c>
      <c r="N61" s="163">
        <v>69797</v>
      </c>
      <c r="O61" s="163">
        <v>88359</v>
      </c>
      <c r="P61" s="163">
        <v>668083</v>
      </c>
      <c r="Q61" s="163">
        <v>2348985</v>
      </c>
      <c r="R61" s="163">
        <v>253537</v>
      </c>
      <c r="S61" s="163">
        <v>4389477</v>
      </c>
      <c r="T61" s="163">
        <v>1492</v>
      </c>
      <c r="U61" s="163">
        <v>49000</v>
      </c>
      <c r="V61" s="163">
        <v>4523</v>
      </c>
      <c r="W61" s="163">
        <v>1776</v>
      </c>
      <c r="X61" s="163">
        <v>0</v>
      </c>
      <c r="Y61" s="163">
        <v>1105</v>
      </c>
      <c r="Z61" s="163">
        <v>767</v>
      </c>
      <c r="AA61" s="163">
        <v>207</v>
      </c>
      <c r="AB61" s="163">
        <v>3203</v>
      </c>
      <c r="AC61" s="163">
        <v>3667</v>
      </c>
      <c r="AD61" s="163">
        <v>634</v>
      </c>
      <c r="AE61" s="163">
        <v>150</v>
      </c>
      <c r="AF61" s="163">
        <v>1050</v>
      </c>
      <c r="AG61" s="163">
        <v>33</v>
      </c>
      <c r="AH61" s="163">
        <v>60969000</v>
      </c>
      <c r="AI61" s="163">
        <v>61935000</v>
      </c>
    </row>
    <row r="62" spans="1:35" x14ac:dyDescent="0.2">
      <c r="A62" t="s">
        <v>628</v>
      </c>
      <c r="B62" t="s">
        <v>146</v>
      </c>
      <c r="C62" s="163">
        <v>54987517.613409668</v>
      </c>
      <c r="D62" s="163">
        <v>33439229.613409668</v>
      </c>
      <c r="E62" s="163">
        <v>17948394</v>
      </c>
      <c r="F62" s="163">
        <v>7212770.39749387</v>
      </c>
      <c r="G62" s="163">
        <v>6563471.39749387</v>
      </c>
      <c r="H62" s="163">
        <v>649299</v>
      </c>
      <c r="I62" s="163">
        <v>5374984.7136688298</v>
      </c>
      <c r="J62" s="163">
        <v>5374984.7136688298</v>
      </c>
      <c r="K62" s="163">
        <v>0</v>
      </c>
      <c r="L62" s="163">
        <v>5360639.1926143598</v>
      </c>
      <c r="M62" s="163">
        <v>1289897</v>
      </c>
      <c r="N62" s="163">
        <v>83757</v>
      </c>
      <c r="O62" s="163">
        <v>141375</v>
      </c>
      <c r="P62" s="163">
        <v>3845610</v>
      </c>
      <c r="Q62" s="163">
        <v>3181889</v>
      </c>
      <c r="R62" s="163">
        <v>418005</v>
      </c>
      <c r="S62" s="163">
        <v>11099112</v>
      </c>
      <c r="T62" s="163">
        <v>13357</v>
      </c>
      <c r="U62" s="163">
        <v>428000</v>
      </c>
      <c r="V62" s="163">
        <v>5368</v>
      </c>
      <c r="W62" s="163">
        <v>3022</v>
      </c>
      <c r="X62" s="163">
        <v>0</v>
      </c>
      <c r="Y62" s="163">
        <v>0</v>
      </c>
      <c r="Z62" s="163">
        <v>1751</v>
      </c>
      <c r="AA62" s="163">
        <v>304</v>
      </c>
      <c r="AB62" s="163">
        <v>3536</v>
      </c>
      <c r="AC62" s="163">
        <v>4003</v>
      </c>
      <c r="AD62" s="163">
        <v>607</v>
      </c>
      <c r="AE62" s="163">
        <v>499</v>
      </c>
      <c r="AF62" s="163">
        <v>1047</v>
      </c>
      <c r="AG62" s="163">
        <v>62</v>
      </c>
      <c r="AH62" s="163">
        <v>92515000</v>
      </c>
      <c r="AI62" s="163">
        <v>94553000</v>
      </c>
    </row>
    <row r="63" spans="1:35" x14ac:dyDescent="0.2">
      <c r="A63" t="s">
        <v>629</v>
      </c>
      <c r="B63" t="s">
        <v>429</v>
      </c>
      <c r="C63" s="163">
        <v>25767546.458210215</v>
      </c>
      <c r="D63" s="163">
        <v>15827119.458210215</v>
      </c>
      <c r="E63" s="163">
        <v>7677318</v>
      </c>
      <c r="F63" s="163">
        <v>2742664.2606193102</v>
      </c>
      <c r="G63" s="163">
        <v>2386397.2606193102</v>
      </c>
      <c r="H63" s="163">
        <v>356267</v>
      </c>
      <c r="I63" s="163">
        <v>2679986.1246191901</v>
      </c>
      <c r="J63" s="163">
        <v>2679986.1246191901</v>
      </c>
      <c r="K63" s="163">
        <v>0</v>
      </c>
      <c r="L63" s="163">
        <v>2254667.7143205502</v>
      </c>
      <c r="M63" s="163">
        <v>119343</v>
      </c>
      <c r="N63" s="163">
        <v>19543</v>
      </c>
      <c r="O63" s="163">
        <v>70687</v>
      </c>
      <c r="P63" s="163">
        <v>2045094</v>
      </c>
      <c r="Q63" s="163">
        <v>1552017</v>
      </c>
      <c r="R63" s="163">
        <v>711092</v>
      </c>
      <c r="S63" s="163">
        <v>3350405</v>
      </c>
      <c r="T63" s="163">
        <v>523</v>
      </c>
      <c r="U63" s="163">
        <v>207000</v>
      </c>
      <c r="V63" s="163">
        <v>2752</v>
      </c>
      <c r="W63" s="163">
        <v>1996</v>
      </c>
      <c r="X63" s="163">
        <v>0</v>
      </c>
      <c r="Y63" s="163">
        <v>11</v>
      </c>
      <c r="Z63" s="163">
        <v>107</v>
      </c>
      <c r="AA63" s="163">
        <v>32</v>
      </c>
      <c r="AB63" s="163">
        <v>1928</v>
      </c>
      <c r="AC63" s="163">
        <v>1613</v>
      </c>
      <c r="AD63" s="163">
        <v>383</v>
      </c>
      <c r="AE63" s="163">
        <v>90</v>
      </c>
      <c r="AF63" s="163">
        <v>381</v>
      </c>
      <c r="AG63" s="163">
        <v>325</v>
      </c>
      <c r="AH63" s="163">
        <v>53257000</v>
      </c>
      <c r="AI63" s="163">
        <v>53060000</v>
      </c>
    </row>
    <row r="64" spans="1:35" x14ac:dyDescent="0.2">
      <c r="A64" t="s">
        <v>633</v>
      </c>
      <c r="B64" t="s">
        <v>354</v>
      </c>
      <c r="C64" s="163">
        <v>15222677.895122953</v>
      </c>
      <c r="D64" s="163">
        <v>10236492.895122953</v>
      </c>
      <c r="E64" s="163">
        <v>3913707</v>
      </c>
      <c r="F64" s="163">
        <v>1637344.9414646199</v>
      </c>
      <c r="G64" s="163">
        <v>1505224.9414646199</v>
      </c>
      <c r="H64" s="163">
        <v>132120</v>
      </c>
      <c r="I64" s="163">
        <v>1629656.96012504</v>
      </c>
      <c r="J64" s="163">
        <v>1629656.96012504</v>
      </c>
      <c r="K64" s="163">
        <v>0</v>
      </c>
      <c r="L64" s="163">
        <v>646705.45788899995</v>
      </c>
      <c r="M64" s="163">
        <v>31218</v>
      </c>
      <c r="N64" s="163">
        <v>20939</v>
      </c>
      <c r="O64" s="163">
        <v>25035</v>
      </c>
      <c r="P64" s="163">
        <v>569513</v>
      </c>
      <c r="Q64" s="163">
        <v>917650</v>
      </c>
      <c r="R64" s="163">
        <v>154828</v>
      </c>
      <c r="S64" s="163">
        <v>1284627</v>
      </c>
      <c r="T64" s="163">
        <v>2688</v>
      </c>
      <c r="U64" s="163">
        <v>0</v>
      </c>
      <c r="V64" s="163">
        <v>1436</v>
      </c>
      <c r="W64" s="163">
        <v>1089</v>
      </c>
      <c r="X64" s="163">
        <v>4</v>
      </c>
      <c r="Y64" s="163">
        <v>980</v>
      </c>
      <c r="Z64" s="163">
        <v>51</v>
      </c>
      <c r="AA64" s="163">
        <v>70</v>
      </c>
      <c r="AB64" s="163">
        <v>1003</v>
      </c>
      <c r="AC64" s="163">
        <v>0</v>
      </c>
      <c r="AD64" s="163">
        <v>231</v>
      </c>
      <c r="AE64" s="163">
        <v>286</v>
      </c>
      <c r="AF64" s="163">
        <v>335</v>
      </c>
      <c r="AG64" s="163">
        <v>23</v>
      </c>
      <c r="AH64" s="163">
        <v>22023000</v>
      </c>
      <c r="AI64" s="163">
        <v>22436000</v>
      </c>
    </row>
    <row r="65" spans="1:35" x14ac:dyDescent="0.2">
      <c r="A65" t="s">
        <v>629</v>
      </c>
      <c r="B65" t="s">
        <v>430</v>
      </c>
      <c r="C65" s="163">
        <v>37141071.326201618</v>
      </c>
      <c r="D65" s="163">
        <v>20325232.326201618</v>
      </c>
      <c r="E65" s="163">
        <v>14531510</v>
      </c>
      <c r="F65" s="163">
        <v>5217619.1416156096</v>
      </c>
      <c r="G65" s="163">
        <v>4625857.1416156096</v>
      </c>
      <c r="H65" s="163">
        <v>591762</v>
      </c>
      <c r="I65" s="163">
        <v>3540566.8414048101</v>
      </c>
      <c r="J65" s="163">
        <v>3540566.8414048101</v>
      </c>
      <c r="K65" s="163">
        <v>0</v>
      </c>
      <c r="L65" s="163">
        <v>5773324.0576540604</v>
      </c>
      <c r="M65" s="163">
        <v>344893</v>
      </c>
      <c r="N65" s="163">
        <v>61422</v>
      </c>
      <c r="O65" s="163">
        <v>189972</v>
      </c>
      <c r="P65" s="163">
        <v>5177038</v>
      </c>
      <c r="Q65" s="163">
        <v>1992314</v>
      </c>
      <c r="R65" s="163">
        <v>292015</v>
      </c>
      <c r="S65" s="163">
        <v>5797321</v>
      </c>
      <c r="T65" s="163">
        <v>2863</v>
      </c>
      <c r="U65" s="163">
        <v>332000</v>
      </c>
      <c r="V65" s="163">
        <v>2488</v>
      </c>
      <c r="W65" s="163">
        <v>1996</v>
      </c>
      <c r="X65" s="163">
        <v>70</v>
      </c>
      <c r="Y65" s="163">
        <v>0</v>
      </c>
      <c r="Z65" s="163">
        <v>173</v>
      </c>
      <c r="AA65" s="163">
        <v>93</v>
      </c>
      <c r="AB65" s="163">
        <v>2279</v>
      </c>
      <c r="AC65" s="163">
        <v>1580</v>
      </c>
      <c r="AD65" s="163">
        <v>420</v>
      </c>
      <c r="AE65" s="163">
        <v>99</v>
      </c>
      <c r="AF65" s="163">
        <v>747</v>
      </c>
      <c r="AG65" s="163">
        <v>107</v>
      </c>
      <c r="AH65" s="163">
        <v>76088000</v>
      </c>
      <c r="AI65" s="163">
        <v>73416000</v>
      </c>
    </row>
    <row r="66" spans="1:35" x14ac:dyDescent="0.2">
      <c r="A66" t="s">
        <v>631</v>
      </c>
      <c r="B66" t="s">
        <v>232</v>
      </c>
      <c r="C66" s="163">
        <v>40833866.322134323</v>
      </c>
      <c r="D66" s="163">
        <v>26210453.322134323</v>
      </c>
      <c r="E66" s="163">
        <v>12527482</v>
      </c>
      <c r="F66" s="163">
        <v>5207486.3680275204</v>
      </c>
      <c r="G66" s="163">
        <v>4768943.3680275204</v>
      </c>
      <c r="H66" s="163">
        <v>438543</v>
      </c>
      <c r="I66" s="163">
        <v>3184388.1100544501</v>
      </c>
      <c r="J66" s="163">
        <v>3184388.1100544501</v>
      </c>
      <c r="K66" s="163">
        <v>0</v>
      </c>
      <c r="L66" s="163">
        <v>4135607.7563916999</v>
      </c>
      <c r="M66" s="163">
        <v>656207</v>
      </c>
      <c r="N66" s="163">
        <v>50254</v>
      </c>
      <c r="O66" s="163">
        <v>136957</v>
      </c>
      <c r="P66" s="163">
        <v>3292190</v>
      </c>
      <c r="Q66" s="163">
        <v>1791202</v>
      </c>
      <c r="R66" s="163">
        <v>304729</v>
      </c>
      <c r="S66" s="163">
        <v>7373253</v>
      </c>
      <c r="T66" s="163">
        <v>3628</v>
      </c>
      <c r="U66" s="163">
        <v>726000</v>
      </c>
      <c r="V66" s="163">
        <v>3395</v>
      </c>
      <c r="W66" s="163">
        <v>2677</v>
      </c>
      <c r="X66" s="163">
        <v>629</v>
      </c>
      <c r="Y66" s="163">
        <v>625</v>
      </c>
      <c r="Z66" s="163">
        <v>41</v>
      </c>
      <c r="AA66" s="163">
        <v>113</v>
      </c>
      <c r="AB66" s="163">
        <v>3313</v>
      </c>
      <c r="AC66" s="163">
        <v>0</v>
      </c>
      <c r="AD66" s="163">
        <v>478</v>
      </c>
      <c r="AE66" s="163">
        <v>0</v>
      </c>
      <c r="AF66" s="163">
        <v>842</v>
      </c>
      <c r="AG66" s="163">
        <v>146</v>
      </c>
      <c r="AH66" s="163">
        <v>67210000</v>
      </c>
      <c r="AI66" s="163">
        <v>70213000</v>
      </c>
    </row>
    <row r="67" spans="1:35" x14ac:dyDescent="0.2">
      <c r="A67" t="s">
        <v>634</v>
      </c>
      <c r="B67" t="s">
        <v>201</v>
      </c>
      <c r="C67" s="163">
        <v>33327495.310941625</v>
      </c>
      <c r="D67" s="163">
        <v>20514509.310941625</v>
      </c>
      <c r="E67" s="163">
        <v>10742335</v>
      </c>
      <c r="F67" s="163">
        <v>4580521.9033761201</v>
      </c>
      <c r="G67" s="163">
        <v>3813792.9033761201</v>
      </c>
      <c r="H67" s="163">
        <v>766729</v>
      </c>
      <c r="I67" s="163">
        <v>3177290.1288054502</v>
      </c>
      <c r="J67" s="163">
        <v>3177290.1288054502</v>
      </c>
      <c r="K67" s="163">
        <v>0</v>
      </c>
      <c r="L67" s="163">
        <v>2984523.1832768698</v>
      </c>
      <c r="M67" s="163">
        <v>68106</v>
      </c>
      <c r="N67" s="163">
        <v>34899</v>
      </c>
      <c r="O67" s="163">
        <v>63324</v>
      </c>
      <c r="P67" s="163">
        <v>2818194</v>
      </c>
      <c r="Q67" s="163">
        <v>1899270</v>
      </c>
      <c r="R67" s="163">
        <v>171381</v>
      </c>
      <c r="S67" s="163">
        <v>3164197</v>
      </c>
      <c r="T67" s="163">
        <v>3603</v>
      </c>
      <c r="U67" s="163">
        <v>54000</v>
      </c>
      <c r="V67" s="163">
        <v>3328</v>
      </c>
      <c r="W67" s="163">
        <v>1806</v>
      </c>
      <c r="X67" s="163">
        <v>8</v>
      </c>
      <c r="Y67" s="163">
        <v>22</v>
      </c>
      <c r="Z67" s="163">
        <v>143</v>
      </c>
      <c r="AA67" s="163">
        <v>145</v>
      </c>
      <c r="AB67" s="163">
        <v>1465</v>
      </c>
      <c r="AC67" s="163">
        <v>1581</v>
      </c>
      <c r="AD67" s="163">
        <v>451</v>
      </c>
      <c r="AE67" s="163">
        <v>232</v>
      </c>
      <c r="AF67" s="163">
        <v>874</v>
      </c>
      <c r="AG67" s="163">
        <v>58</v>
      </c>
      <c r="AH67" s="163">
        <v>54401000</v>
      </c>
      <c r="AI67" s="163">
        <v>56989000</v>
      </c>
    </row>
    <row r="68" spans="1:35" x14ac:dyDescent="0.2">
      <c r="A68" t="s">
        <v>632</v>
      </c>
      <c r="B68" t="s">
        <v>181</v>
      </c>
      <c r="C68" s="163">
        <v>32460005.910426274</v>
      </c>
      <c r="D68" s="163">
        <v>16699158.910426274</v>
      </c>
      <c r="E68" s="163">
        <v>13721144</v>
      </c>
      <c r="F68" s="163">
        <v>4909669.9381309198</v>
      </c>
      <c r="G68" s="163">
        <v>4027236.9381309198</v>
      </c>
      <c r="H68" s="163">
        <v>882433</v>
      </c>
      <c r="I68" s="163">
        <v>3058104.4664522801</v>
      </c>
      <c r="J68" s="163">
        <v>3058104.4664522801</v>
      </c>
      <c r="K68" s="163">
        <v>0</v>
      </c>
      <c r="L68" s="163">
        <v>5753369.79316625</v>
      </c>
      <c r="M68" s="163">
        <v>791474</v>
      </c>
      <c r="N68" s="163">
        <v>30711</v>
      </c>
      <c r="O68" s="163">
        <v>57433</v>
      </c>
      <c r="P68" s="163">
        <v>4873752</v>
      </c>
      <c r="Q68" s="163">
        <v>1766832</v>
      </c>
      <c r="R68" s="163">
        <v>272871</v>
      </c>
      <c r="S68" s="163">
        <v>6683637</v>
      </c>
      <c r="T68" s="163">
        <v>2421</v>
      </c>
      <c r="U68" s="163">
        <v>50000</v>
      </c>
      <c r="V68" s="163">
        <v>1907</v>
      </c>
      <c r="W68" s="163">
        <v>754</v>
      </c>
      <c r="X68" s="163">
        <v>2</v>
      </c>
      <c r="Y68" s="163">
        <v>0</v>
      </c>
      <c r="Z68" s="163">
        <v>0</v>
      </c>
      <c r="AA68" s="163">
        <v>0</v>
      </c>
      <c r="AB68" s="163">
        <v>1648</v>
      </c>
      <c r="AC68" s="163">
        <v>1633</v>
      </c>
      <c r="AD68" s="163">
        <v>229</v>
      </c>
      <c r="AE68" s="163">
        <v>0</v>
      </c>
      <c r="AF68" s="163">
        <v>273</v>
      </c>
      <c r="AG68" s="163">
        <v>2</v>
      </c>
      <c r="AH68" s="163">
        <v>58298000</v>
      </c>
      <c r="AI68" s="163">
        <v>60059000</v>
      </c>
    </row>
    <row r="69" spans="1:35" x14ac:dyDescent="0.2">
      <c r="A69" t="s">
        <v>636</v>
      </c>
      <c r="B69" t="s">
        <v>280</v>
      </c>
      <c r="C69" s="163">
        <v>47024244.782156095</v>
      </c>
      <c r="D69" s="163">
        <v>31786150.782156095</v>
      </c>
      <c r="E69" s="163">
        <v>11981200</v>
      </c>
      <c r="F69" s="163">
        <v>5697003.2235699696</v>
      </c>
      <c r="G69" s="163">
        <v>5070665.2235699696</v>
      </c>
      <c r="H69" s="163">
        <v>626338</v>
      </c>
      <c r="I69" s="163">
        <v>4778939.2180096498</v>
      </c>
      <c r="J69" s="163">
        <v>4778939.2180096498</v>
      </c>
      <c r="K69" s="163">
        <v>0</v>
      </c>
      <c r="L69" s="163">
        <v>1505257.0619490701</v>
      </c>
      <c r="M69" s="163">
        <v>361796</v>
      </c>
      <c r="N69" s="163">
        <v>48858</v>
      </c>
      <c r="O69" s="163">
        <v>70687</v>
      </c>
      <c r="P69" s="163">
        <v>1023916</v>
      </c>
      <c r="Q69" s="163">
        <v>2904208</v>
      </c>
      <c r="R69" s="163">
        <v>352686</v>
      </c>
      <c r="S69" s="163">
        <v>8247864</v>
      </c>
      <c r="T69" s="163">
        <v>12967</v>
      </c>
      <c r="U69" s="163">
        <v>202000</v>
      </c>
      <c r="V69" s="163">
        <v>7651</v>
      </c>
      <c r="W69" s="163">
        <v>3364</v>
      </c>
      <c r="X69" s="163">
        <v>0</v>
      </c>
      <c r="Y69" s="163">
        <v>61</v>
      </c>
      <c r="Z69" s="163">
        <v>175</v>
      </c>
      <c r="AA69" s="163">
        <v>336</v>
      </c>
      <c r="AB69" s="163">
        <v>4924</v>
      </c>
      <c r="AC69" s="163">
        <v>3873</v>
      </c>
      <c r="AD69" s="163">
        <v>734</v>
      </c>
      <c r="AE69" s="163">
        <v>531</v>
      </c>
      <c r="AF69" s="163">
        <v>848</v>
      </c>
      <c r="AG69" s="163">
        <v>122</v>
      </c>
      <c r="AH69" s="163">
        <v>88876000</v>
      </c>
      <c r="AI69" s="163">
        <v>84433000</v>
      </c>
    </row>
    <row r="70" spans="1:35" x14ac:dyDescent="0.2">
      <c r="A70" t="s">
        <v>632</v>
      </c>
      <c r="B70" t="s">
        <v>641</v>
      </c>
      <c r="C70" s="163">
        <v>70145286.732304156</v>
      </c>
      <c r="D70" s="163">
        <v>46014992.732304156</v>
      </c>
      <c r="E70" s="163">
        <v>19607949</v>
      </c>
      <c r="F70" s="163">
        <v>8730483.0125900693</v>
      </c>
      <c r="G70" s="163">
        <v>7653061.0125900693</v>
      </c>
      <c r="H70" s="163">
        <v>1077422</v>
      </c>
      <c r="I70" s="163">
        <v>6294639.8396106996</v>
      </c>
      <c r="J70" s="163">
        <v>6294639.8396106996</v>
      </c>
      <c r="K70" s="163">
        <v>0</v>
      </c>
      <c r="L70" s="163">
        <v>4582826.56840098</v>
      </c>
      <c r="M70" s="163">
        <v>1037828</v>
      </c>
      <c r="N70" s="163">
        <v>61422</v>
      </c>
      <c r="O70" s="163">
        <v>89832</v>
      </c>
      <c r="P70" s="163">
        <v>3393745</v>
      </c>
      <c r="Q70" s="163">
        <v>3936889</v>
      </c>
      <c r="R70" s="163">
        <v>585456</v>
      </c>
      <c r="S70" s="163">
        <v>13316483</v>
      </c>
      <c r="T70" s="163">
        <v>27449</v>
      </c>
      <c r="U70" s="163">
        <v>220000</v>
      </c>
      <c r="V70" s="163">
        <v>6361</v>
      </c>
      <c r="W70" s="163">
        <v>4018</v>
      </c>
      <c r="X70" s="163">
        <v>0</v>
      </c>
      <c r="Y70" s="163">
        <v>68</v>
      </c>
      <c r="Z70" s="163">
        <v>706</v>
      </c>
      <c r="AA70" s="163">
        <v>1370</v>
      </c>
      <c r="AB70" s="163">
        <v>4712</v>
      </c>
      <c r="AC70" s="163">
        <v>4715</v>
      </c>
      <c r="AD70" s="163">
        <v>818</v>
      </c>
      <c r="AE70" s="163">
        <v>365</v>
      </c>
      <c r="AF70" s="163">
        <v>654</v>
      </c>
      <c r="AG70" s="163">
        <v>123</v>
      </c>
      <c r="AH70" s="163">
        <v>194207000</v>
      </c>
      <c r="AI70" s="163">
        <v>196198000</v>
      </c>
    </row>
    <row r="71" spans="1:35" x14ac:dyDescent="0.2">
      <c r="A71" t="s">
        <v>637</v>
      </c>
      <c r="B71" t="s">
        <v>159</v>
      </c>
      <c r="C71" s="163">
        <v>19753991.589311272</v>
      </c>
      <c r="D71" s="163">
        <v>12540409.589311272</v>
      </c>
      <c r="E71" s="163">
        <v>5849809</v>
      </c>
      <c r="F71" s="163">
        <v>2290238.7545945402</v>
      </c>
      <c r="G71" s="163">
        <v>1995095.7545945402</v>
      </c>
      <c r="H71" s="163">
        <v>295143</v>
      </c>
      <c r="I71" s="163">
        <v>1731852.39350295</v>
      </c>
      <c r="J71" s="163">
        <v>1731852.39350295</v>
      </c>
      <c r="K71" s="163">
        <v>0</v>
      </c>
      <c r="L71" s="163">
        <v>1827717.8280187</v>
      </c>
      <c r="M71" s="163">
        <v>375295</v>
      </c>
      <c r="N71" s="163">
        <v>25127</v>
      </c>
      <c r="O71" s="163">
        <v>55961</v>
      </c>
      <c r="P71" s="163">
        <v>1371335</v>
      </c>
      <c r="Q71" s="163">
        <v>983789</v>
      </c>
      <c r="R71" s="163">
        <v>379984</v>
      </c>
      <c r="S71" s="163">
        <v>3629625</v>
      </c>
      <c r="T71" s="163">
        <v>9098</v>
      </c>
      <c r="U71" s="163">
        <v>52000</v>
      </c>
      <c r="V71" s="163">
        <v>1348</v>
      </c>
      <c r="W71" s="163">
        <v>1429</v>
      </c>
      <c r="X71" s="163">
        <v>0</v>
      </c>
      <c r="Y71" s="163">
        <v>0</v>
      </c>
      <c r="Z71" s="163">
        <v>323</v>
      </c>
      <c r="AA71" s="163">
        <v>189</v>
      </c>
      <c r="AB71" s="163">
        <v>1780</v>
      </c>
      <c r="AC71" s="163">
        <v>1112</v>
      </c>
      <c r="AD71" s="163">
        <v>146</v>
      </c>
      <c r="AE71" s="163">
        <v>125</v>
      </c>
      <c r="AF71" s="163">
        <v>280</v>
      </c>
      <c r="AG71" s="163">
        <v>8</v>
      </c>
      <c r="AH71" s="163">
        <v>31187000</v>
      </c>
      <c r="AI71" s="163">
        <v>31456000</v>
      </c>
    </row>
    <row r="72" spans="1:35" x14ac:dyDescent="0.2">
      <c r="A72" t="s">
        <v>636</v>
      </c>
      <c r="B72" t="s">
        <v>281</v>
      </c>
      <c r="C72" s="163">
        <v>46114768.487284213</v>
      </c>
      <c r="D72" s="163">
        <v>32425424.487284213</v>
      </c>
      <c r="E72" s="163">
        <v>10908659</v>
      </c>
      <c r="F72" s="163">
        <v>5134033.7765113804</v>
      </c>
      <c r="G72" s="163">
        <v>4596056.7765113804</v>
      </c>
      <c r="H72" s="163">
        <v>537977</v>
      </c>
      <c r="I72" s="163">
        <v>4175852.1961690998</v>
      </c>
      <c r="J72" s="163">
        <v>4175852.1961690998</v>
      </c>
      <c r="K72" s="163">
        <v>0</v>
      </c>
      <c r="L72" s="163">
        <v>1598773.25365232</v>
      </c>
      <c r="M72" s="163">
        <v>106543</v>
      </c>
      <c r="N72" s="163">
        <v>53046</v>
      </c>
      <c r="O72" s="163">
        <v>86886</v>
      </c>
      <c r="P72" s="163">
        <v>1352298</v>
      </c>
      <c r="Q72" s="163">
        <v>2373229</v>
      </c>
      <c r="R72" s="163">
        <v>407456</v>
      </c>
      <c r="S72" s="163">
        <v>6627325</v>
      </c>
      <c r="T72" s="163">
        <v>10984</v>
      </c>
      <c r="U72" s="163">
        <v>312000</v>
      </c>
      <c r="V72" s="163">
        <v>5264</v>
      </c>
      <c r="W72" s="163">
        <v>1973</v>
      </c>
      <c r="X72" s="163">
        <v>6</v>
      </c>
      <c r="Y72" s="163">
        <v>2376</v>
      </c>
      <c r="Z72" s="163">
        <v>197</v>
      </c>
      <c r="AA72" s="163">
        <v>516</v>
      </c>
      <c r="AB72" s="163">
        <v>4630</v>
      </c>
      <c r="AC72" s="163">
        <v>3641</v>
      </c>
      <c r="AD72" s="163">
        <v>787</v>
      </c>
      <c r="AE72" s="163">
        <v>367</v>
      </c>
      <c r="AF72" s="163">
        <v>1672</v>
      </c>
      <c r="AG72" s="163">
        <v>163</v>
      </c>
      <c r="AH72" s="163">
        <v>86898000</v>
      </c>
      <c r="AI72" s="163">
        <v>89654000</v>
      </c>
    </row>
    <row r="73" spans="1:35" x14ac:dyDescent="0.2">
      <c r="A73" t="s">
        <v>628</v>
      </c>
      <c r="B73" t="s">
        <v>154</v>
      </c>
      <c r="C73" s="163">
        <v>29423878.09068203</v>
      </c>
      <c r="D73" s="163">
        <v>19379781.09068203</v>
      </c>
      <c r="E73" s="163">
        <v>7940977</v>
      </c>
      <c r="F73" s="163">
        <v>3487272.9446173501</v>
      </c>
      <c r="G73" s="163">
        <v>3090493.9446173501</v>
      </c>
      <c r="H73" s="163">
        <v>396779</v>
      </c>
      <c r="I73" s="163">
        <v>3010672.1554521099</v>
      </c>
      <c r="J73" s="163">
        <v>3010672.1554521099</v>
      </c>
      <c r="K73" s="163">
        <v>0</v>
      </c>
      <c r="L73" s="163">
        <v>1443031.9225401899</v>
      </c>
      <c r="M73" s="163">
        <v>119516</v>
      </c>
      <c r="N73" s="163">
        <v>29315</v>
      </c>
      <c r="O73" s="163">
        <v>45652</v>
      </c>
      <c r="P73" s="163">
        <v>1248548</v>
      </c>
      <c r="Q73" s="163">
        <v>1861827</v>
      </c>
      <c r="R73" s="163">
        <v>241293</v>
      </c>
      <c r="S73" s="163">
        <v>3257271</v>
      </c>
      <c r="T73" s="163">
        <v>5926</v>
      </c>
      <c r="U73" s="163">
        <v>52000</v>
      </c>
      <c r="V73" s="163">
        <v>2896</v>
      </c>
      <c r="W73" s="163">
        <v>1266</v>
      </c>
      <c r="X73" s="163">
        <v>0</v>
      </c>
      <c r="Y73" s="163">
        <v>0</v>
      </c>
      <c r="Z73" s="163">
        <v>285</v>
      </c>
      <c r="AA73" s="163">
        <v>120</v>
      </c>
      <c r="AB73" s="163">
        <v>2534</v>
      </c>
      <c r="AC73" s="163">
        <v>1766</v>
      </c>
      <c r="AD73" s="163">
        <v>463</v>
      </c>
      <c r="AE73" s="163">
        <v>274</v>
      </c>
      <c r="AF73" s="163">
        <v>754</v>
      </c>
      <c r="AG73" s="163">
        <v>22</v>
      </c>
      <c r="AH73" s="163">
        <v>47300000</v>
      </c>
      <c r="AI73" s="163">
        <v>46959000</v>
      </c>
    </row>
    <row r="74" spans="1:35" x14ac:dyDescent="0.2">
      <c r="A74" t="s">
        <v>633</v>
      </c>
      <c r="B74" t="s">
        <v>355</v>
      </c>
      <c r="C74" s="163">
        <v>182577968.90294403</v>
      </c>
      <c r="D74" s="163">
        <v>108814725.90294403</v>
      </c>
      <c r="E74" s="163">
        <v>61757475</v>
      </c>
      <c r="F74" s="163">
        <v>17954695.7140867</v>
      </c>
      <c r="G74" s="163">
        <v>16321674.7140867</v>
      </c>
      <c r="H74" s="163">
        <v>1633021</v>
      </c>
      <c r="I74" s="163">
        <v>27191361.149191398</v>
      </c>
      <c r="J74" s="163">
        <v>10013457.6852245</v>
      </c>
      <c r="K74" s="163">
        <v>17177903.463966899</v>
      </c>
      <c r="L74" s="163">
        <v>16611418.495492</v>
      </c>
      <c r="M74" s="163">
        <v>3652286</v>
      </c>
      <c r="N74" s="163">
        <v>276397</v>
      </c>
      <c r="O74" s="163">
        <v>568444</v>
      </c>
      <c r="P74" s="163">
        <v>12114292</v>
      </c>
      <c r="Q74" s="163">
        <v>6514870</v>
      </c>
      <c r="R74" s="163">
        <v>5490898</v>
      </c>
      <c r="S74" s="163">
        <v>46130552</v>
      </c>
      <c r="T74" s="163">
        <v>10809</v>
      </c>
      <c r="U74" s="163">
        <v>2228000</v>
      </c>
      <c r="V74" s="163">
        <v>13344</v>
      </c>
      <c r="W74" s="163">
        <v>12587</v>
      </c>
      <c r="X74" s="163">
        <v>5175</v>
      </c>
      <c r="Y74" s="163">
        <v>2644</v>
      </c>
      <c r="Z74" s="163">
        <v>654</v>
      </c>
      <c r="AA74" s="163">
        <v>216</v>
      </c>
      <c r="AB74" s="163">
        <v>10972</v>
      </c>
      <c r="AC74" s="163">
        <v>13982</v>
      </c>
      <c r="AD74" s="163">
        <v>1481</v>
      </c>
      <c r="AE74" s="163">
        <v>0</v>
      </c>
      <c r="AF74" s="163">
        <v>2431</v>
      </c>
      <c r="AG74" s="163">
        <v>297</v>
      </c>
      <c r="AH74" s="163">
        <v>330934000</v>
      </c>
      <c r="AI74" s="163">
        <v>340559000</v>
      </c>
    </row>
    <row r="75" spans="1:35" x14ac:dyDescent="0.2">
      <c r="A75" t="s">
        <v>637</v>
      </c>
      <c r="B75" t="s">
        <v>160</v>
      </c>
      <c r="C75" s="163">
        <v>49493626.723035038</v>
      </c>
      <c r="D75" s="163">
        <v>26512400.723035038</v>
      </c>
      <c r="E75" s="163">
        <v>17772156</v>
      </c>
      <c r="F75" s="163">
        <v>7223909.1038780799</v>
      </c>
      <c r="G75" s="163">
        <v>5967536.1038780799</v>
      </c>
      <c r="H75" s="163">
        <v>1256373</v>
      </c>
      <c r="I75" s="163">
        <v>4634511.9422661504</v>
      </c>
      <c r="J75" s="163">
        <v>4634511.9422661504</v>
      </c>
      <c r="K75" s="163">
        <v>0</v>
      </c>
      <c r="L75" s="163">
        <v>5913734.6734071299</v>
      </c>
      <c r="M75" s="163">
        <v>1520609</v>
      </c>
      <c r="N75" s="163">
        <v>76777</v>
      </c>
      <c r="O75" s="163">
        <v>164937</v>
      </c>
      <c r="P75" s="163">
        <v>4151411</v>
      </c>
      <c r="Q75" s="163">
        <v>2863863</v>
      </c>
      <c r="R75" s="163">
        <v>2345207</v>
      </c>
      <c r="S75" s="163">
        <v>12839049</v>
      </c>
      <c r="T75" s="163">
        <v>3099</v>
      </c>
      <c r="U75" s="163">
        <v>591000</v>
      </c>
      <c r="V75" s="163">
        <v>3098</v>
      </c>
      <c r="W75" s="163">
        <v>7219</v>
      </c>
      <c r="X75" s="163">
        <v>0</v>
      </c>
      <c r="Y75" s="163">
        <v>624</v>
      </c>
      <c r="Z75" s="163">
        <v>112</v>
      </c>
      <c r="AA75" s="163">
        <v>213</v>
      </c>
      <c r="AB75" s="163">
        <v>3033</v>
      </c>
      <c r="AC75" s="163">
        <v>2885</v>
      </c>
      <c r="AD75" s="163">
        <v>439</v>
      </c>
      <c r="AE75" s="163">
        <v>150</v>
      </c>
      <c r="AF75" s="163">
        <v>363</v>
      </c>
      <c r="AG75" s="163">
        <v>33</v>
      </c>
      <c r="AH75" s="163">
        <v>85038000</v>
      </c>
      <c r="AI75" s="163">
        <v>86666000</v>
      </c>
    </row>
    <row r="76" spans="1:35" x14ac:dyDescent="0.2">
      <c r="A76" t="s">
        <v>630</v>
      </c>
      <c r="B76" t="s">
        <v>310</v>
      </c>
      <c r="C76" s="163">
        <v>107712463.45824027</v>
      </c>
      <c r="D76" s="163">
        <v>55163042.458240271</v>
      </c>
      <c r="E76" s="163">
        <v>43687540</v>
      </c>
      <c r="F76" s="163">
        <v>16465028.4986724</v>
      </c>
      <c r="G76" s="163">
        <v>13943333.4986724</v>
      </c>
      <c r="H76" s="163">
        <v>2521695</v>
      </c>
      <c r="I76" s="163">
        <v>18332536.094930898</v>
      </c>
      <c r="J76" s="163">
        <v>9409847.7169295326</v>
      </c>
      <c r="K76" s="163">
        <v>8922688.3780013658</v>
      </c>
      <c r="L76" s="163">
        <v>8889974.9139299896</v>
      </c>
      <c r="M76" s="163">
        <v>2305689</v>
      </c>
      <c r="N76" s="163">
        <v>333631</v>
      </c>
      <c r="O76" s="163">
        <v>455049</v>
      </c>
      <c r="P76" s="163">
        <v>5795605</v>
      </c>
      <c r="Q76" s="163">
        <v>5366188</v>
      </c>
      <c r="R76" s="163">
        <v>3495693</v>
      </c>
      <c r="S76" s="163">
        <v>23150741</v>
      </c>
      <c r="T76" s="163">
        <v>1629</v>
      </c>
      <c r="U76" s="163">
        <v>663000</v>
      </c>
      <c r="V76" s="163">
        <v>5904</v>
      </c>
      <c r="W76" s="163">
        <v>7299</v>
      </c>
      <c r="X76" s="163">
        <v>376</v>
      </c>
      <c r="Y76" s="163">
        <v>40</v>
      </c>
      <c r="Z76" s="163">
        <v>683</v>
      </c>
      <c r="AA76" s="163">
        <v>691</v>
      </c>
      <c r="AB76" s="163">
        <v>4741</v>
      </c>
      <c r="AC76" s="163">
        <v>8669</v>
      </c>
      <c r="AD76" s="163">
        <v>1094</v>
      </c>
      <c r="AE76" s="163">
        <v>334</v>
      </c>
      <c r="AF76" s="163">
        <v>938</v>
      </c>
      <c r="AG76" s="163">
        <v>96</v>
      </c>
      <c r="AH76" s="163">
        <v>172742000</v>
      </c>
      <c r="AI76" s="163">
        <v>176089000</v>
      </c>
    </row>
    <row r="77" spans="1:35" x14ac:dyDescent="0.2">
      <c r="A77" t="s">
        <v>629</v>
      </c>
      <c r="B77" t="s">
        <v>431</v>
      </c>
      <c r="C77" s="163">
        <v>45824935.086111151</v>
      </c>
      <c r="D77" s="163">
        <v>26255773.086111151</v>
      </c>
      <c r="E77" s="163">
        <v>16705440</v>
      </c>
      <c r="F77" s="163">
        <v>7829002.2411731305</v>
      </c>
      <c r="G77" s="163">
        <v>5079744.2411731305</v>
      </c>
      <c r="H77" s="163">
        <v>2749258</v>
      </c>
      <c r="I77" s="163">
        <v>4332450.1535224896</v>
      </c>
      <c r="J77" s="163">
        <v>4332450.1535224896</v>
      </c>
      <c r="K77" s="163">
        <v>0</v>
      </c>
      <c r="L77" s="163">
        <v>4543987.9413767699</v>
      </c>
      <c r="M77" s="163">
        <v>234369</v>
      </c>
      <c r="N77" s="163">
        <v>40482</v>
      </c>
      <c r="O77" s="163">
        <v>170828</v>
      </c>
      <c r="P77" s="163">
        <v>4098309</v>
      </c>
      <c r="Q77" s="163">
        <v>2567828</v>
      </c>
      <c r="R77" s="163">
        <v>295894</v>
      </c>
      <c r="S77" s="163">
        <v>6321935</v>
      </c>
      <c r="T77" s="163">
        <v>2039</v>
      </c>
      <c r="U77" s="163">
        <v>127000</v>
      </c>
      <c r="V77" s="163">
        <v>4919</v>
      </c>
      <c r="W77" s="163">
        <v>2896</v>
      </c>
      <c r="X77" s="163">
        <v>397</v>
      </c>
      <c r="Y77" s="163">
        <v>0</v>
      </c>
      <c r="Z77" s="163">
        <v>186</v>
      </c>
      <c r="AA77" s="163">
        <v>218</v>
      </c>
      <c r="AB77" s="163">
        <v>3616</v>
      </c>
      <c r="AC77" s="163">
        <v>1848</v>
      </c>
      <c r="AD77" s="163">
        <v>596</v>
      </c>
      <c r="AE77" s="163">
        <v>85</v>
      </c>
      <c r="AF77" s="163">
        <v>1060</v>
      </c>
      <c r="AG77" s="163">
        <v>115</v>
      </c>
      <c r="AH77" s="163">
        <v>79146000</v>
      </c>
      <c r="AI77" s="163">
        <v>78745000</v>
      </c>
    </row>
    <row r="78" spans="1:35" x14ac:dyDescent="0.2">
      <c r="A78" t="s">
        <v>634</v>
      </c>
      <c r="B78" t="s">
        <v>202</v>
      </c>
      <c r="C78" s="163">
        <v>188290229.36038303</v>
      </c>
      <c r="D78" s="163">
        <v>95197854.360383034</v>
      </c>
      <c r="E78" s="163">
        <v>79287909</v>
      </c>
      <c r="F78" s="163">
        <v>25405195.767968498</v>
      </c>
      <c r="G78" s="163">
        <v>22282952.767968498</v>
      </c>
      <c r="H78" s="163">
        <v>3122243</v>
      </c>
      <c r="I78" s="163">
        <v>32109823.937757201</v>
      </c>
      <c r="J78" s="163">
        <v>13678251.974432327</v>
      </c>
      <c r="K78" s="163">
        <v>18431571.963324875</v>
      </c>
      <c r="L78" s="163">
        <v>21772888.856665101</v>
      </c>
      <c r="M78" s="163">
        <v>3615151</v>
      </c>
      <c r="N78" s="163">
        <v>328048</v>
      </c>
      <c r="O78" s="163">
        <v>868865</v>
      </c>
      <c r="P78" s="163">
        <v>16960826</v>
      </c>
      <c r="Q78" s="163">
        <v>7621231</v>
      </c>
      <c r="R78" s="163">
        <v>6183235</v>
      </c>
      <c r="S78" s="163">
        <v>36508172</v>
      </c>
      <c r="T78" s="163">
        <v>23415</v>
      </c>
      <c r="U78" s="163">
        <v>2804000</v>
      </c>
      <c r="V78" s="163">
        <v>13506</v>
      </c>
      <c r="W78" s="163">
        <v>11592</v>
      </c>
      <c r="X78" s="163">
        <v>4769</v>
      </c>
      <c r="Y78" s="163">
        <v>165</v>
      </c>
      <c r="Z78" s="163">
        <v>128</v>
      </c>
      <c r="AA78" s="163">
        <v>552</v>
      </c>
      <c r="AB78" s="163">
        <v>7875</v>
      </c>
      <c r="AC78" s="163">
        <v>10236</v>
      </c>
      <c r="AD78" s="163">
        <v>1888</v>
      </c>
      <c r="AE78" s="163">
        <v>145</v>
      </c>
      <c r="AF78" s="163">
        <v>2995</v>
      </c>
      <c r="AG78" s="163">
        <v>1090</v>
      </c>
      <c r="AH78" s="163">
        <v>312598000</v>
      </c>
      <c r="AI78" s="163">
        <v>314087000</v>
      </c>
    </row>
    <row r="79" spans="1:35" x14ac:dyDescent="0.2">
      <c r="A79" t="s">
        <v>630</v>
      </c>
      <c r="B79" t="s">
        <v>311</v>
      </c>
      <c r="C79" s="163">
        <v>35905200.864287011</v>
      </c>
      <c r="D79" s="163">
        <v>24491081.864287011</v>
      </c>
      <c r="E79" s="163">
        <v>9530571</v>
      </c>
      <c r="F79" s="163">
        <v>4599280.5521074496</v>
      </c>
      <c r="G79" s="163">
        <v>4086593.5521074496</v>
      </c>
      <c r="H79" s="163">
        <v>512687</v>
      </c>
      <c r="I79" s="163">
        <v>2522579.6356394999</v>
      </c>
      <c r="J79" s="163">
        <v>2522579.6356394999</v>
      </c>
      <c r="K79" s="163">
        <v>0</v>
      </c>
      <c r="L79" s="163">
        <v>2408710.9639270701</v>
      </c>
      <c r="M79" s="163">
        <v>436639</v>
      </c>
      <c r="N79" s="163">
        <v>51650</v>
      </c>
      <c r="O79" s="163">
        <v>91304</v>
      </c>
      <c r="P79" s="163">
        <v>1829118</v>
      </c>
      <c r="Q79" s="163">
        <v>1549620</v>
      </c>
      <c r="R79" s="163">
        <v>333928</v>
      </c>
      <c r="S79" s="163">
        <v>7247302</v>
      </c>
      <c r="T79" s="163">
        <v>25385</v>
      </c>
      <c r="U79" s="163">
        <v>373000</v>
      </c>
      <c r="V79" s="163">
        <v>3255</v>
      </c>
      <c r="W79" s="163">
        <v>2795</v>
      </c>
      <c r="X79" s="163">
        <v>658</v>
      </c>
      <c r="Y79" s="163">
        <v>500</v>
      </c>
      <c r="Z79" s="163">
        <v>77</v>
      </c>
      <c r="AA79" s="163">
        <v>0</v>
      </c>
      <c r="AB79" s="163">
        <v>2824</v>
      </c>
      <c r="AC79" s="163">
        <v>3636</v>
      </c>
      <c r="AD79" s="163">
        <v>630</v>
      </c>
      <c r="AE79" s="163">
        <v>2</v>
      </c>
      <c r="AF79" s="163">
        <v>1709</v>
      </c>
      <c r="AG79" s="163">
        <v>56</v>
      </c>
      <c r="AH79" s="163">
        <v>82693000</v>
      </c>
      <c r="AI79" s="163">
        <v>83248000</v>
      </c>
    </row>
    <row r="80" spans="1:35" x14ac:dyDescent="0.2">
      <c r="A80" t="s">
        <v>634</v>
      </c>
      <c r="B80" t="s">
        <v>203</v>
      </c>
      <c r="C80" s="163">
        <v>31918304.369735967</v>
      </c>
      <c r="D80" s="163">
        <v>19750094.369735967</v>
      </c>
      <c r="E80" s="163">
        <v>10127003</v>
      </c>
      <c r="F80" s="163">
        <v>4581628.2814547103</v>
      </c>
      <c r="G80" s="163">
        <v>3358264.2814547103</v>
      </c>
      <c r="H80" s="163">
        <v>1223364</v>
      </c>
      <c r="I80" s="163">
        <v>3060477.4306429601</v>
      </c>
      <c r="J80" s="163">
        <v>3060477.4306429601</v>
      </c>
      <c r="K80" s="163">
        <v>0</v>
      </c>
      <c r="L80" s="163">
        <v>2484897.7385364701</v>
      </c>
      <c r="M80" s="163">
        <v>64290</v>
      </c>
      <c r="N80" s="163">
        <v>27919</v>
      </c>
      <c r="O80" s="163">
        <v>50070</v>
      </c>
      <c r="P80" s="163">
        <v>2342619</v>
      </c>
      <c r="Q80" s="163">
        <v>1790672</v>
      </c>
      <c r="R80" s="163">
        <v>250535</v>
      </c>
      <c r="S80" s="163">
        <v>3182236</v>
      </c>
      <c r="T80" s="163">
        <v>5618</v>
      </c>
      <c r="U80" s="163">
        <v>56000</v>
      </c>
      <c r="V80" s="163">
        <v>3756</v>
      </c>
      <c r="W80" s="163">
        <v>2572</v>
      </c>
      <c r="X80" s="163">
        <v>5</v>
      </c>
      <c r="Y80" s="163">
        <v>18</v>
      </c>
      <c r="Z80" s="163">
        <v>300</v>
      </c>
      <c r="AA80" s="163">
        <v>235</v>
      </c>
      <c r="AB80" s="163">
        <v>2983</v>
      </c>
      <c r="AC80" s="163">
        <v>1270</v>
      </c>
      <c r="AD80" s="163">
        <v>519</v>
      </c>
      <c r="AE80" s="163">
        <v>0</v>
      </c>
      <c r="AF80" s="163">
        <v>706</v>
      </c>
      <c r="AG80" s="163">
        <v>82</v>
      </c>
      <c r="AH80" s="163">
        <v>56402000</v>
      </c>
      <c r="AI80" s="163">
        <v>56558000</v>
      </c>
    </row>
    <row r="81" spans="1:35" x14ac:dyDescent="0.2">
      <c r="A81" t="s">
        <v>631</v>
      </c>
      <c r="B81" t="s">
        <v>233</v>
      </c>
      <c r="C81" s="163">
        <v>19034597.368655857</v>
      </c>
      <c r="D81" s="163">
        <v>10473784.368655857</v>
      </c>
      <c r="E81" s="163">
        <v>7271478</v>
      </c>
      <c r="F81" s="163">
        <v>2947624.5457850602</v>
      </c>
      <c r="G81" s="163">
        <v>2787157.5457850602</v>
      </c>
      <c r="H81" s="163">
        <v>160467</v>
      </c>
      <c r="I81" s="163">
        <v>2014301.4750986199</v>
      </c>
      <c r="J81" s="163">
        <v>2014301.4750986199</v>
      </c>
      <c r="K81" s="163">
        <v>0</v>
      </c>
      <c r="L81" s="163">
        <v>2309552.0693238</v>
      </c>
      <c r="M81" s="163">
        <v>455322</v>
      </c>
      <c r="N81" s="163">
        <v>25127</v>
      </c>
      <c r="O81" s="163">
        <v>57433</v>
      </c>
      <c r="P81" s="163">
        <v>1771669</v>
      </c>
      <c r="Q81" s="163">
        <v>1125830</v>
      </c>
      <c r="R81" s="163">
        <v>163505</v>
      </c>
      <c r="S81" s="163">
        <v>4188614</v>
      </c>
      <c r="T81" s="163">
        <v>1814</v>
      </c>
      <c r="U81" s="163">
        <v>211000</v>
      </c>
      <c r="V81" s="163">
        <v>1404</v>
      </c>
      <c r="W81" s="163">
        <v>390</v>
      </c>
      <c r="X81" s="163">
        <v>409</v>
      </c>
      <c r="Y81" s="163">
        <v>201</v>
      </c>
      <c r="Z81" s="163">
        <v>208</v>
      </c>
      <c r="AA81" s="163">
        <v>96</v>
      </c>
      <c r="AB81" s="163">
        <v>1074</v>
      </c>
      <c r="AC81" s="163">
        <v>1150</v>
      </c>
      <c r="AD81" s="163">
        <v>179</v>
      </c>
      <c r="AE81" s="163">
        <v>62</v>
      </c>
      <c r="AF81" s="163">
        <v>172</v>
      </c>
      <c r="AG81" s="163">
        <v>17</v>
      </c>
      <c r="AH81" s="163">
        <v>30833000</v>
      </c>
      <c r="AI81" s="163">
        <v>32023000</v>
      </c>
    </row>
    <row r="82" spans="1:35" x14ac:dyDescent="0.2">
      <c r="A82" t="s">
        <v>631</v>
      </c>
      <c r="B82" t="s">
        <v>234</v>
      </c>
      <c r="C82" s="163">
        <v>125795804.3660749</v>
      </c>
      <c r="D82" s="163">
        <v>51538495.366074905</v>
      </c>
      <c r="E82" s="163">
        <v>63202888</v>
      </c>
      <c r="F82" s="163">
        <v>13723864.9857651</v>
      </c>
      <c r="G82" s="163">
        <v>11904864.9857651</v>
      </c>
      <c r="H82" s="163">
        <v>1819000</v>
      </c>
      <c r="I82" s="163">
        <v>39162913.778196797</v>
      </c>
      <c r="J82" s="163">
        <v>9360952.8848196566</v>
      </c>
      <c r="K82" s="163">
        <v>29801960.89337714</v>
      </c>
      <c r="L82" s="163">
        <v>10316109.465285899</v>
      </c>
      <c r="M82" s="163">
        <v>1371795</v>
      </c>
      <c r="N82" s="163">
        <v>140991</v>
      </c>
      <c r="O82" s="163">
        <v>329874</v>
      </c>
      <c r="P82" s="163">
        <v>8473450</v>
      </c>
      <c r="Q82" s="163">
        <v>5032730</v>
      </c>
      <c r="R82" s="163">
        <v>6021691</v>
      </c>
      <c r="S82" s="163">
        <v>18482309</v>
      </c>
      <c r="T82" s="163">
        <v>21292</v>
      </c>
      <c r="U82" s="163">
        <v>259000</v>
      </c>
      <c r="V82" s="163">
        <v>6552</v>
      </c>
      <c r="W82" s="163">
        <v>5168</v>
      </c>
      <c r="X82" s="163">
        <v>3499</v>
      </c>
      <c r="Y82" s="163">
        <v>127</v>
      </c>
      <c r="Z82" s="163">
        <v>0</v>
      </c>
      <c r="AA82" s="163">
        <v>495</v>
      </c>
      <c r="AB82" s="163">
        <v>5605</v>
      </c>
      <c r="AC82" s="163">
        <v>5741</v>
      </c>
      <c r="AD82" s="163">
        <v>871</v>
      </c>
      <c r="AE82" s="163">
        <v>48</v>
      </c>
      <c r="AF82" s="163">
        <v>1711</v>
      </c>
      <c r="AG82" s="163">
        <v>224</v>
      </c>
      <c r="AH82" s="163">
        <v>203236000</v>
      </c>
      <c r="AI82" s="163">
        <v>196773000</v>
      </c>
    </row>
    <row r="83" spans="1:35" x14ac:dyDescent="0.2">
      <c r="A83" t="s">
        <v>629</v>
      </c>
      <c r="B83" t="s">
        <v>432</v>
      </c>
      <c r="C83" s="163">
        <v>29981768.775159936</v>
      </c>
      <c r="D83" s="163">
        <v>19258737.775159936</v>
      </c>
      <c r="E83" s="163">
        <v>8508352</v>
      </c>
      <c r="F83" s="163">
        <v>3581254.7818266898</v>
      </c>
      <c r="G83" s="163">
        <v>3375436.7818266898</v>
      </c>
      <c r="H83" s="163">
        <v>205818</v>
      </c>
      <c r="I83" s="163">
        <v>3327192.23995726</v>
      </c>
      <c r="J83" s="163">
        <v>3327192.23995726</v>
      </c>
      <c r="K83" s="163">
        <v>0</v>
      </c>
      <c r="L83" s="163">
        <v>1599905.3961165899</v>
      </c>
      <c r="M83" s="163">
        <v>159555</v>
      </c>
      <c r="N83" s="163">
        <v>13959</v>
      </c>
      <c r="O83" s="163">
        <v>64797</v>
      </c>
      <c r="P83" s="163">
        <v>1361594</v>
      </c>
      <c r="Q83" s="163">
        <v>1999428</v>
      </c>
      <c r="R83" s="163">
        <v>215251</v>
      </c>
      <c r="S83" s="163">
        <v>4212357</v>
      </c>
      <c r="T83" s="163">
        <v>611</v>
      </c>
      <c r="U83" s="163">
        <v>202000</v>
      </c>
      <c r="V83" s="163">
        <v>3381</v>
      </c>
      <c r="W83" s="163">
        <v>1241</v>
      </c>
      <c r="X83" s="163">
        <v>1</v>
      </c>
      <c r="Y83" s="163">
        <v>0</v>
      </c>
      <c r="Z83" s="163">
        <v>0</v>
      </c>
      <c r="AA83" s="163">
        <v>190</v>
      </c>
      <c r="AB83" s="163">
        <v>1625</v>
      </c>
      <c r="AC83" s="163">
        <v>2642</v>
      </c>
      <c r="AD83" s="163">
        <v>431</v>
      </c>
      <c r="AE83" s="163">
        <v>141</v>
      </c>
      <c r="AF83" s="163">
        <v>417</v>
      </c>
      <c r="AG83" s="163">
        <v>27</v>
      </c>
      <c r="AH83" s="163">
        <v>50814000</v>
      </c>
      <c r="AI83" s="163">
        <v>51530000</v>
      </c>
    </row>
    <row r="84" spans="1:35" x14ac:dyDescent="0.2">
      <c r="A84" t="s">
        <v>632</v>
      </c>
      <c r="B84" t="s">
        <v>182</v>
      </c>
      <c r="C84" s="163">
        <v>45578786.055522725</v>
      </c>
      <c r="D84" s="163">
        <v>25180285.055522725</v>
      </c>
      <c r="E84" s="163">
        <v>17775225</v>
      </c>
      <c r="F84" s="163">
        <v>6460982.44638028</v>
      </c>
      <c r="G84" s="163">
        <v>5619384.44638028</v>
      </c>
      <c r="H84" s="163">
        <v>841598</v>
      </c>
      <c r="I84" s="163">
        <v>3960834.5905929599</v>
      </c>
      <c r="J84" s="163">
        <v>3960834.5905929599</v>
      </c>
      <c r="K84" s="163">
        <v>0</v>
      </c>
      <c r="L84" s="163">
        <v>7353407.6052557696</v>
      </c>
      <c r="M84" s="163">
        <v>895068</v>
      </c>
      <c r="N84" s="163">
        <v>36295</v>
      </c>
      <c r="O84" s="163">
        <v>72160</v>
      </c>
      <c r="P84" s="163">
        <v>6349885</v>
      </c>
      <c r="Q84" s="163">
        <v>2245121</v>
      </c>
      <c r="R84" s="163">
        <v>378155</v>
      </c>
      <c r="S84" s="163">
        <v>8702049</v>
      </c>
      <c r="T84" s="163">
        <v>5494</v>
      </c>
      <c r="U84" s="163">
        <v>83000</v>
      </c>
      <c r="V84" s="163">
        <v>2841</v>
      </c>
      <c r="W84" s="163">
        <v>1811</v>
      </c>
      <c r="X84" s="163">
        <v>461</v>
      </c>
      <c r="Y84" s="163">
        <v>1802</v>
      </c>
      <c r="Z84" s="163">
        <v>274</v>
      </c>
      <c r="AA84" s="163">
        <v>207</v>
      </c>
      <c r="AB84" s="163">
        <v>2514</v>
      </c>
      <c r="AC84" s="163">
        <v>2425</v>
      </c>
      <c r="AD84" s="163">
        <v>435</v>
      </c>
      <c r="AE84" s="163">
        <v>144</v>
      </c>
      <c r="AF84" s="163">
        <v>401</v>
      </c>
      <c r="AG84" s="163">
        <v>64</v>
      </c>
      <c r="AH84" s="163">
        <v>68042000</v>
      </c>
      <c r="AI84" s="163">
        <v>67198000</v>
      </c>
    </row>
    <row r="85" spans="1:35" x14ac:dyDescent="0.2">
      <c r="A85" t="s">
        <v>633</v>
      </c>
      <c r="B85" t="s">
        <v>356</v>
      </c>
      <c r="C85" s="163">
        <v>261840991.01310313</v>
      </c>
      <c r="D85" s="163">
        <v>128084322.01310313</v>
      </c>
      <c r="E85" s="163">
        <v>111857981</v>
      </c>
      <c r="F85" s="163">
        <v>30360651.168380599</v>
      </c>
      <c r="G85" s="163">
        <v>24874057.168380599</v>
      </c>
      <c r="H85" s="163">
        <v>5486594</v>
      </c>
      <c r="I85" s="163">
        <v>54494692.282844797</v>
      </c>
      <c r="J85" s="163">
        <v>15732588.404944532</v>
      </c>
      <c r="K85" s="163">
        <v>38762103.877900265</v>
      </c>
      <c r="L85" s="163">
        <v>27002637.579351801</v>
      </c>
      <c r="M85" s="163">
        <v>5534840</v>
      </c>
      <c r="N85" s="163">
        <v>442515</v>
      </c>
      <c r="O85" s="163">
        <v>827630</v>
      </c>
      <c r="P85" s="163">
        <v>20197652</v>
      </c>
      <c r="Q85" s="163">
        <v>9776065</v>
      </c>
      <c r="R85" s="163">
        <v>12122623</v>
      </c>
      <c r="S85" s="163">
        <v>48896945</v>
      </c>
      <c r="T85" s="163">
        <v>18660</v>
      </c>
      <c r="U85" s="163">
        <v>5938000</v>
      </c>
      <c r="V85" s="163">
        <v>11553</v>
      </c>
      <c r="W85" s="163">
        <v>11721</v>
      </c>
      <c r="X85" s="163">
        <v>10117</v>
      </c>
      <c r="Y85" s="163">
        <v>6176</v>
      </c>
      <c r="Z85" s="163">
        <v>0</v>
      </c>
      <c r="AA85" s="163">
        <v>852</v>
      </c>
      <c r="AB85" s="163">
        <v>11428</v>
      </c>
      <c r="AC85" s="163">
        <v>14338</v>
      </c>
      <c r="AD85" s="163">
        <v>2680</v>
      </c>
      <c r="AE85" s="163">
        <v>2331</v>
      </c>
      <c r="AF85" s="163">
        <v>1688</v>
      </c>
      <c r="AG85" s="163">
        <v>1158</v>
      </c>
      <c r="AH85" s="163">
        <v>423218000</v>
      </c>
      <c r="AI85" s="163">
        <v>431892000</v>
      </c>
    </row>
    <row r="86" spans="1:35" x14ac:dyDescent="0.2">
      <c r="A86" t="s">
        <v>630</v>
      </c>
      <c r="B86" t="s">
        <v>312</v>
      </c>
      <c r="C86" s="163">
        <v>22584552.000410844</v>
      </c>
      <c r="D86" s="163">
        <v>14389259.000410844</v>
      </c>
      <c r="E86" s="163">
        <v>6880738</v>
      </c>
      <c r="F86" s="163">
        <v>3493088.4364783298</v>
      </c>
      <c r="G86" s="163">
        <v>3020949.4364783298</v>
      </c>
      <c r="H86" s="163">
        <v>472139</v>
      </c>
      <c r="I86" s="163">
        <v>2084268.91928413</v>
      </c>
      <c r="J86" s="163">
        <v>2084268.91928413</v>
      </c>
      <c r="K86" s="163">
        <v>0</v>
      </c>
      <c r="L86" s="163">
        <v>1303381.1333256001</v>
      </c>
      <c r="M86" s="163">
        <v>48116</v>
      </c>
      <c r="N86" s="163">
        <v>36295</v>
      </c>
      <c r="O86" s="163">
        <v>44180</v>
      </c>
      <c r="P86" s="163">
        <v>1174791</v>
      </c>
      <c r="Q86" s="163">
        <v>1094484</v>
      </c>
      <c r="R86" s="163">
        <v>220071</v>
      </c>
      <c r="S86" s="163">
        <v>2208313</v>
      </c>
      <c r="T86" s="163">
        <v>4278</v>
      </c>
      <c r="U86" s="163">
        <v>0</v>
      </c>
      <c r="V86" s="163">
        <v>1753</v>
      </c>
      <c r="W86" s="163">
        <v>757</v>
      </c>
      <c r="X86" s="163">
        <v>0</v>
      </c>
      <c r="Y86" s="163">
        <v>0</v>
      </c>
      <c r="Z86" s="163">
        <v>13</v>
      </c>
      <c r="AA86" s="163">
        <v>15</v>
      </c>
      <c r="AB86" s="163">
        <v>1306</v>
      </c>
      <c r="AC86" s="163">
        <v>2809</v>
      </c>
      <c r="AD86" s="163">
        <v>260</v>
      </c>
      <c r="AE86" s="163">
        <v>64</v>
      </c>
      <c r="AF86" s="163">
        <v>345</v>
      </c>
      <c r="AG86" s="163">
        <v>30</v>
      </c>
      <c r="AH86" s="163">
        <v>33674000</v>
      </c>
      <c r="AI86" s="163">
        <v>34848000</v>
      </c>
    </row>
    <row r="87" spans="1:35" x14ac:dyDescent="0.2">
      <c r="A87" t="s">
        <v>629</v>
      </c>
      <c r="B87" t="s">
        <v>433</v>
      </c>
      <c r="C87" s="163">
        <v>29800388.882569734</v>
      </c>
      <c r="D87" s="163">
        <v>19029885.882569734</v>
      </c>
      <c r="E87" s="163">
        <v>8583571</v>
      </c>
      <c r="F87" s="163">
        <v>3504725.3221035399</v>
      </c>
      <c r="G87" s="163">
        <v>3047652.3221035399</v>
      </c>
      <c r="H87" s="163">
        <v>457073</v>
      </c>
      <c r="I87" s="163">
        <v>3451827.1633174201</v>
      </c>
      <c r="J87" s="163">
        <v>3451827.1633174201</v>
      </c>
      <c r="K87" s="163">
        <v>0</v>
      </c>
      <c r="L87" s="163">
        <v>1627018.6903336099</v>
      </c>
      <c r="M87" s="163">
        <v>67637</v>
      </c>
      <c r="N87" s="163">
        <v>18147</v>
      </c>
      <c r="O87" s="163">
        <v>53015</v>
      </c>
      <c r="P87" s="163">
        <v>1488219</v>
      </c>
      <c r="Q87" s="163">
        <v>1977417</v>
      </c>
      <c r="R87" s="163">
        <v>209515</v>
      </c>
      <c r="S87" s="163">
        <v>2889815</v>
      </c>
      <c r="T87" s="163">
        <v>5715</v>
      </c>
      <c r="U87" s="163">
        <v>105000</v>
      </c>
      <c r="V87" s="163">
        <v>3040</v>
      </c>
      <c r="W87" s="163">
        <v>1165</v>
      </c>
      <c r="X87" s="163">
        <v>6</v>
      </c>
      <c r="Y87" s="163">
        <v>56</v>
      </c>
      <c r="Z87" s="163">
        <v>108</v>
      </c>
      <c r="AA87" s="163">
        <v>0</v>
      </c>
      <c r="AB87" s="163">
        <v>3296</v>
      </c>
      <c r="AC87" s="163">
        <v>2135</v>
      </c>
      <c r="AD87" s="163">
        <v>527</v>
      </c>
      <c r="AE87" s="163">
        <v>107</v>
      </c>
      <c r="AF87" s="163">
        <v>504</v>
      </c>
      <c r="AG87" s="163">
        <v>80</v>
      </c>
      <c r="AH87" s="163">
        <v>46464000</v>
      </c>
      <c r="AI87" s="163">
        <v>47965000</v>
      </c>
    </row>
    <row r="88" spans="1:35" x14ac:dyDescent="0.2">
      <c r="A88" t="s">
        <v>635</v>
      </c>
      <c r="B88" t="s">
        <v>512</v>
      </c>
      <c r="C88" s="163">
        <v>55768663.37598142</v>
      </c>
      <c r="D88" s="163">
        <v>35502244.37598142</v>
      </c>
      <c r="E88" s="163">
        <v>17180182</v>
      </c>
      <c r="F88" s="163">
        <v>10465507.405327501</v>
      </c>
      <c r="G88" s="163">
        <v>7715263.6603275007</v>
      </c>
      <c r="H88" s="163">
        <v>2750243.7450000001</v>
      </c>
      <c r="I88" s="163">
        <v>4609709.6353040002</v>
      </c>
      <c r="J88" s="163">
        <v>4609709.6353040002</v>
      </c>
      <c r="K88" s="163">
        <v>0</v>
      </c>
      <c r="L88" s="163">
        <v>2104964.7806752301</v>
      </c>
      <c r="M88" s="163">
        <v>592291</v>
      </c>
      <c r="N88" s="163">
        <v>26523</v>
      </c>
      <c r="O88" s="163">
        <v>92777</v>
      </c>
      <c r="P88" s="163">
        <v>1393374</v>
      </c>
      <c r="Q88" s="163">
        <v>2540354</v>
      </c>
      <c r="R88" s="163">
        <v>545883</v>
      </c>
      <c r="S88" s="163">
        <v>9598973</v>
      </c>
      <c r="T88" s="163">
        <v>24861</v>
      </c>
      <c r="U88" s="163">
        <v>581000</v>
      </c>
      <c r="V88" s="163">
        <v>5159</v>
      </c>
      <c r="W88" s="163">
        <v>3988</v>
      </c>
      <c r="X88" s="163">
        <v>8</v>
      </c>
      <c r="Y88" s="163">
        <v>915</v>
      </c>
      <c r="Z88" s="163">
        <v>1037</v>
      </c>
      <c r="AA88" s="163">
        <v>657</v>
      </c>
      <c r="AB88" s="163">
        <v>2285</v>
      </c>
      <c r="AC88" s="163">
        <v>4063</v>
      </c>
      <c r="AD88" s="163">
        <v>709</v>
      </c>
      <c r="AE88" s="163">
        <v>320</v>
      </c>
      <c r="AF88" s="163">
        <v>1097</v>
      </c>
      <c r="AG88" s="163">
        <v>162</v>
      </c>
      <c r="AH88" s="163">
        <v>100118000</v>
      </c>
      <c r="AI88" s="163">
        <v>105564000</v>
      </c>
    </row>
    <row r="89" spans="1:35" x14ac:dyDescent="0.2">
      <c r="A89" t="s">
        <v>631</v>
      </c>
      <c r="B89" t="s">
        <v>235</v>
      </c>
      <c r="C89" s="163">
        <v>26163946.980671667</v>
      </c>
      <c r="D89" s="163">
        <v>15565790.980671667</v>
      </c>
      <c r="E89" s="163">
        <v>8996748</v>
      </c>
      <c r="F89" s="163">
        <v>3781159.1604084698</v>
      </c>
      <c r="G89" s="163">
        <v>3528286.1604084698</v>
      </c>
      <c r="H89" s="163">
        <v>252873</v>
      </c>
      <c r="I89" s="163">
        <v>2655231.7077581901</v>
      </c>
      <c r="J89" s="163">
        <v>2655231.7077581901</v>
      </c>
      <c r="K89" s="163">
        <v>0</v>
      </c>
      <c r="L89" s="163">
        <v>2560357.1672971002</v>
      </c>
      <c r="M89" s="163">
        <v>228419</v>
      </c>
      <c r="N89" s="163">
        <v>23731</v>
      </c>
      <c r="O89" s="163">
        <v>64797</v>
      </c>
      <c r="P89" s="163">
        <v>2243410</v>
      </c>
      <c r="Q89" s="163">
        <v>1417889</v>
      </c>
      <c r="R89" s="163">
        <v>183519</v>
      </c>
      <c r="S89" s="163">
        <v>3680893</v>
      </c>
      <c r="T89" s="163">
        <v>2609</v>
      </c>
      <c r="U89" s="163">
        <v>308000</v>
      </c>
      <c r="V89" s="163">
        <v>2210</v>
      </c>
      <c r="W89" s="163">
        <v>1021</v>
      </c>
      <c r="X89" s="163">
        <v>0</v>
      </c>
      <c r="Y89" s="163">
        <v>0</v>
      </c>
      <c r="Z89" s="163">
        <v>0</v>
      </c>
      <c r="AA89" s="163">
        <v>192</v>
      </c>
      <c r="AB89" s="163">
        <v>1773</v>
      </c>
      <c r="AC89" s="163">
        <v>1206</v>
      </c>
      <c r="AD89" s="163">
        <v>300</v>
      </c>
      <c r="AE89" s="163">
        <v>20</v>
      </c>
      <c r="AF89" s="163">
        <v>278</v>
      </c>
      <c r="AG89" s="163">
        <v>51</v>
      </c>
      <c r="AH89" s="163">
        <v>36687000</v>
      </c>
      <c r="AI89" s="163">
        <v>37526000</v>
      </c>
    </row>
    <row r="90" spans="1:35" x14ac:dyDescent="0.2">
      <c r="A90" t="s">
        <v>631</v>
      </c>
      <c r="B90" t="s">
        <v>236</v>
      </c>
      <c r="C90" s="163">
        <v>32284034.135568641</v>
      </c>
      <c r="D90" s="163">
        <v>19851003.135568641</v>
      </c>
      <c r="E90" s="163">
        <v>10494308</v>
      </c>
      <c r="F90" s="163">
        <v>4987066.7327582296</v>
      </c>
      <c r="G90" s="163">
        <v>4639757.7327582296</v>
      </c>
      <c r="H90" s="163">
        <v>347309</v>
      </c>
      <c r="I90" s="163">
        <v>3131910.3944946099</v>
      </c>
      <c r="J90" s="163">
        <v>3131910.3944946099</v>
      </c>
      <c r="K90" s="163">
        <v>0</v>
      </c>
      <c r="L90" s="163">
        <v>2375331.3486824399</v>
      </c>
      <c r="M90" s="163">
        <v>374816</v>
      </c>
      <c r="N90" s="163">
        <v>53046</v>
      </c>
      <c r="O90" s="163">
        <v>98668</v>
      </c>
      <c r="P90" s="163">
        <v>1848802</v>
      </c>
      <c r="Q90" s="163">
        <v>1723203</v>
      </c>
      <c r="R90" s="163">
        <v>215520</v>
      </c>
      <c r="S90" s="163">
        <v>5719689</v>
      </c>
      <c r="T90" s="163">
        <v>2986</v>
      </c>
      <c r="U90" s="163">
        <v>0</v>
      </c>
      <c r="V90" s="163">
        <v>3631</v>
      </c>
      <c r="W90" s="163">
        <v>2277</v>
      </c>
      <c r="X90" s="163">
        <v>0</v>
      </c>
      <c r="Y90" s="163">
        <v>265</v>
      </c>
      <c r="Z90" s="163">
        <v>152</v>
      </c>
      <c r="AA90" s="163">
        <v>211</v>
      </c>
      <c r="AB90" s="163">
        <v>2041</v>
      </c>
      <c r="AC90" s="163">
        <v>2392</v>
      </c>
      <c r="AD90" s="163">
        <v>476</v>
      </c>
      <c r="AE90" s="163">
        <v>78</v>
      </c>
      <c r="AF90" s="163">
        <v>672</v>
      </c>
      <c r="AG90" s="163">
        <v>95</v>
      </c>
      <c r="AH90" s="163">
        <v>57729000</v>
      </c>
      <c r="AI90" s="163">
        <v>57503000</v>
      </c>
    </row>
    <row r="91" spans="1:35" x14ac:dyDescent="0.2">
      <c r="A91" t="s">
        <v>638</v>
      </c>
      <c r="B91" t="s">
        <v>482</v>
      </c>
      <c r="C91" s="163">
        <v>45247649.289231107</v>
      </c>
      <c r="D91" s="163">
        <v>26346503.289231107</v>
      </c>
      <c r="E91" s="163">
        <v>15605013</v>
      </c>
      <c r="F91" s="163">
        <v>6175012.7644624803</v>
      </c>
      <c r="G91" s="163">
        <v>5396431.7644624803</v>
      </c>
      <c r="H91" s="163">
        <v>778581</v>
      </c>
      <c r="I91" s="163">
        <v>5277839.4762264797</v>
      </c>
      <c r="J91" s="163">
        <v>5277839.4762264797</v>
      </c>
      <c r="K91" s="163">
        <v>0</v>
      </c>
      <c r="L91" s="163">
        <v>4152160.38656057</v>
      </c>
      <c r="M91" s="163">
        <v>445965</v>
      </c>
      <c r="N91" s="163">
        <v>47462</v>
      </c>
      <c r="O91" s="163">
        <v>123703</v>
      </c>
      <c r="P91" s="163">
        <v>3535030</v>
      </c>
      <c r="Q91" s="163">
        <v>3026300</v>
      </c>
      <c r="R91" s="163">
        <v>269833</v>
      </c>
      <c r="S91" s="163">
        <v>6509186</v>
      </c>
      <c r="T91" s="163">
        <v>6016</v>
      </c>
      <c r="U91" s="163">
        <v>158000</v>
      </c>
      <c r="V91" s="163">
        <v>4092</v>
      </c>
      <c r="W91" s="163">
        <v>2172</v>
      </c>
      <c r="X91" s="163">
        <v>0</v>
      </c>
      <c r="Y91" s="163">
        <v>4</v>
      </c>
      <c r="Z91" s="163">
        <v>254</v>
      </c>
      <c r="AA91" s="163">
        <v>188</v>
      </c>
      <c r="AB91" s="163">
        <v>3989</v>
      </c>
      <c r="AC91" s="163">
        <v>2924</v>
      </c>
      <c r="AD91" s="163">
        <v>1059</v>
      </c>
      <c r="AE91" s="163">
        <v>106</v>
      </c>
      <c r="AF91" s="163">
        <v>578</v>
      </c>
      <c r="AG91" s="163">
        <v>94</v>
      </c>
      <c r="AH91" s="163">
        <v>73595000</v>
      </c>
      <c r="AI91" s="163">
        <v>73581000</v>
      </c>
    </row>
    <row r="92" spans="1:35" x14ac:dyDescent="0.2">
      <c r="A92" t="s">
        <v>630</v>
      </c>
      <c r="B92" t="s">
        <v>313</v>
      </c>
      <c r="C92" s="163">
        <v>41309487.954830483</v>
      </c>
      <c r="D92" s="163">
        <v>29259946.954830483</v>
      </c>
      <c r="E92" s="163">
        <v>9648561</v>
      </c>
      <c r="F92" s="163">
        <v>3856444.8575776201</v>
      </c>
      <c r="G92" s="163">
        <v>3563381.8575776201</v>
      </c>
      <c r="H92" s="163">
        <v>293063</v>
      </c>
      <c r="I92" s="163">
        <v>3575422.7528331601</v>
      </c>
      <c r="J92" s="163">
        <v>3575422.7528331601</v>
      </c>
      <c r="K92" s="163">
        <v>0</v>
      </c>
      <c r="L92" s="163">
        <v>2216693.5100538498</v>
      </c>
      <c r="M92" s="163">
        <v>88476</v>
      </c>
      <c r="N92" s="163">
        <v>43274</v>
      </c>
      <c r="O92" s="163">
        <v>73633</v>
      </c>
      <c r="P92" s="163">
        <v>2011310</v>
      </c>
      <c r="Q92" s="163">
        <v>2061587</v>
      </c>
      <c r="R92" s="163">
        <v>339393</v>
      </c>
      <c r="S92" s="163">
        <v>4267401</v>
      </c>
      <c r="T92" s="163">
        <v>4351</v>
      </c>
      <c r="U92" s="163">
        <v>145000</v>
      </c>
      <c r="V92" s="163">
        <v>3896</v>
      </c>
      <c r="W92" s="163">
        <v>1921</v>
      </c>
      <c r="X92" s="163">
        <v>45</v>
      </c>
      <c r="Y92" s="163">
        <v>33</v>
      </c>
      <c r="Z92" s="163">
        <v>586</v>
      </c>
      <c r="AA92" s="163">
        <v>117</v>
      </c>
      <c r="AB92" s="163">
        <v>3126</v>
      </c>
      <c r="AC92" s="163">
        <v>3598</v>
      </c>
      <c r="AD92" s="163">
        <v>694</v>
      </c>
      <c r="AE92" s="163">
        <v>135</v>
      </c>
      <c r="AF92" s="163">
        <v>600</v>
      </c>
      <c r="AG92" s="163">
        <v>184</v>
      </c>
      <c r="AH92" s="163">
        <v>81099000</v>
      </c>
      <c r="AI92" s="163">
        <v>83386040.000000015</v>
      </c>
    </row>
    <row r="93" spans="1:35" x14ac:dyDescent="0.2">
      <c r="A93" t="s">
        <v>631</v>
      </c>
      <c r="B93" t="s">
        <v>237</v>
      </c>
      <c r="C93" s="163">
        <v>176655052.94245774</v>
      </c>
      <c r="D93" s="163">
        <v>94988302.942457736</v>
      </c>
      <c r="E93" s="163">
        <v>69236363</v>
      </c>
      <c r="F93" s="163">
        <v>25938461.598322999</v>
      </c>
      <c r="G93" s="163">
        <v>19770994.598322999</v>
      </c>
      <c r="H93" s="163">
        <v>6167467</v>
      </c>
      <c r="I93" s="163">
        <v>32513453.978645101</v>
      </c>
      <c r="J93" s="163">
        <v>13207741.254279945</v>
      </c>
      <c r="K93" s="163">
        <v>19305712.724365156</v>
      </c>
      <c r="L93" s="163">
        <v>10784447.3249477</v>
      </c>
      <c r="M93" s="163">
        <v>1456676</v>
      </c>
      <c r="N93" s="163">
        <v>343403</v>
      </c>
      <c r="O93" s="163">
        <v>530155</v>
      </c>
      <c r="P93" s="163">
        <v>8454213</v>
      </c>
      <c r="Q93" s="163">
        <v>7451829</v>
      </c>
      <c r="R93" s="163">
        <v>4978558</v>
      </c>
      <c r="S93" s="163">
        <v>23251879</v>
      </c>
      <c r="T93" s="163">
        <v>22199</v>
      </c>
      <c r="U93" s="163">
        <v>2936000</v>
      </c>
      <c r="V93" s="163">
        <v>12032</v>
      </c>
      <c r="W93" s="163">
        <v>10023</v>
      </c>
      <c r="X93" s="163">
        <v>1576</v>
      </c>
      <c r="Y93" s="163">
        <v>8120</v>
      </c>
      <c r="Z93" s="163">
        <v>653</v>
      </c>
      <c r="AA93" s="163">
        <v>1255</v>
      </c>
      <c r="AB93" s="163">
        <v>10603</v>
      </c>
      <c r="AC93" s="163">
        <v>10200</v>
      </c>
      <c r="AD93" s="163">
        <v>2005</v>
      </c>
      <c r="AE93" s="163">
        <v>1120</v>
      </c>
      <c r="AF93" s="163">
        <v>3506</v>
      </c>
      <c r="AG93" s="163">
        <v>797</v>
      </c>
      <c r="AH93" s="163">
        <v>315010000</v>
      </c>
      <c r="AI93" s="163">
        <v>319860000</v>
      </c>
    </row>
    <row r="94" spans="1:35" x14ac:dyDescent="0.2">
      <c r="A94" t="s">
        <v>636</v>
      </c>
      <c r="B94" t="s">
        <v>282</v>
      </c>
      <c r="C94" s="163">
        <v>9357535.106049832</v>
      </c>
      <c r="D94" s="163">
        <v>6259232.106049832</v>
      </c>
      <c r="E94" s="163">
        <v>2515252</v>
      </c>
      <c r="F94" s="163">
        <v>1292833.39854817</v>
      </c>
      <c r="G94" s="163">
        <v>1255405.39854817</v>
      </c>
      <c r="H94" s="163">
        <v>37428</v>
      </c>
      <c r="I94" s="163">
        <v>889738.207344644</v>
      </c>
      <c r="J94" s="163">
        <v>889738.207344644</v>
      </c>
      <c r="K94" s="163">
        <v>0</v>
      </c>
      <c r="L94" s="163">
        <v>332680.87962873298</v>
      </c>
      <c r="M94" s="163">
        <v>21954</v>
      </c>
      <c r="N94" s="163">
        <v>8376</v>
      </c>
      <c r="O94" s="163">
        <v>11781</v>
      </c>
      <c r="P94" s="163">
        <v>290570</v>
      </c>
      <c r="Q94" s="163">
        <v>506075</v>
      </c>
      <c r="R94" s="163">
        <v>76976</v>
      </c>
      <c r="S94" s="163">
        <v>1204091</v>
      </c>
      <c r="T94" s="163">
        <v>934</v>
      </c>
      <c r="U94" s="163">
        <v>49000</v>
      </c>
      <c r="V94" s="163">
        <v>1470</v>
      </c>
      <c r="W94" s="163">
        <v>519</v>
      </c>
      <c r="X94" s="163">
        <v>0</v>
      </c>
      <c r="Y94" s="163">
        <v>990</v>
      </c>
      <c r="Z94" s="163">
        <v>70</v>
      </c>
      <c r="AA94" s="163">
        <v>62</v>
      </c>
      <c r="AB94" s="163">
        <v>703</v>
      </c>
      <c r="AC94" s="163">
        <v>864</v>
      </c>
      <c r="AD94" s="163">
        <v>142</v>
      </c>
      <c r="AE94" s="163">
        <v>24</v>
      </c>
      <c r="AF94" s="163">
        <v>437</v>
      </c>
      <c r="AG94" s="163">
        <v>54</v>
      </c>
      <c r="AH94" s="163">
        <v>18867000</v>
      </c>
      <c r="AI94" s="163">
        <v>19778000</v>
      </c>
    </row>
    <row r="95" spans="1:35" x14ac:dyDescent="0.2">
      <c r="A95" t="s">
        <v>637</v>
      </c>
      <c r="B95" t="s">
        <v>161</v>
      </c>
      <c r="C95" s="163">
        <v>31643633.693440881</v>
      </c>
      <c r="D95" s="163">
        <v>16709280.693440881</v>
      </c>
      <c r="E95" s="163">
        <v>12793482</v>
      </c>
      <c r="F95" s="163">
        <v>4795215.66128325</v>
      </c>
      <c r="G95" s="163">
        <v>3529727.66128325</v>
      </c>
      <c r="H95" s="163">
        <v>1265488</v>
      </c>
      <c r="I95" s="163">
        <v>3015707.2875764002</v>
      </c>
      <c r="J95" s="163">
        <v>3015707.2875764002</v>
      </c>
      <c r="K95" s="163">
        <v>0</v>
      </c>
      <c r="L95" s="163">
        <v>4982559.48566595</v>
      </c>
      <c r="M95" s="163">
        <v>622010</v>
      </c>
      <c r="N95" s="163">
        <v>47462</v>
      </c>
      <c r="O95" s="163">
        <v>128121</v>
      </c>
      <c r="P95" s="163">
        <v>4184966</v>
      </c>
      <c r="Q95" s="163">
        <v>1628196</v>
      </c>
      <c r="R95" s="163">
        <v>512675</v>
      </c>
      <c r="S95" s="163">
        <v>5855980</v>
      </c>
      <c r="T95" s="163">
        <v>6612</v>
      </c>
      <c r="U95" s="163">
        <v>92000</v>
      </c>
      <c r="V95" s="163">
        <v>2512</v>
      </c>
      <c r="W95" s="163">
        <v>9066</v>
      </c>
      <c r="X95" s="163">
        <v>0</v>
      </c>
      <c r="Y95" s="163">
        <v>0</v>
      </c>
      <c r="Z95" s="163">
        <v>0</v>
      </c>
      <c r="AA95" s="163">
        <v>38</v>
      </c>
      <c r="AB95" s="163">
        <v>2020</v>
      </c>
      <c r="AC95" s="163">
        <v>919</v>
      </c>
      <c r="AD95" s="163">
        <v>323</v>
      </c>
      <c r="AE95" s="163">
        <v>270</v>
      </c>
      <c r="AF95" s="163">
        <v>250</v>
      </c>
      <c r="AG95" s="163">
        <v>35</v>
      </c>
      <c r="AH95" s="163">
        <v>55443000</v>
      </c>
      <c r="AI95" s="163">
        <v>56492000</v>
      </c>
    </row>
    <row r="96" spans="1:35" x14ac:dyDescent="0.2">
      <c r="A96" t="s">
        <v>629</v>
      </c>
      <c r="B96" t="s">
        <v>434</v>
      </c>
      <c r="C96" s="163">
        <v>24246441.392126344</v>
      </c>
      <c r="D96" s="163">
        <v>13990968.392126344</v>
      </c>
      <c r="E96" s="163">
        <v>8715475</v>
      </c>
      <c r="F96" s="163">
        <v>3157729.1351258298</v>
      </c>
      <c r="G96" s="163">
        <v>2375741.1351258298</v>
      </c>
      <c r="H96" s="163">
        <v>781988</v>
      </c>
      <c r="I96" s="163">
        <v>2487466.7830803399</v>
      </c>
      <c r="J96" s="163">
        <v>2487466.7830803399</v>
      </c>
      <c r="K96" s="163">
        <v>0</v>
      </c>
      <c r="L96" s="163">
        <v>3070279.4191118898</v>
      </c>
      <c r="M96" s="163">
        <v>46235</v>
      </c>
      <c r="N96" s="163">
        <v>18147</v>
      </c>
      <c r="O96" s="163">
        <v>76578</v>
      </c>
      <c r="P96" s="163">
        <v>2929320</v>
      </c>
      <c r="Q96" s="163">
        <v>1380514</v>
      </c>
      <c r="R96" s="163">
        <v>159484</v>
      </c>
      <c r="S96" s="163">
        <v>1922146</v>
      </c>
      <c r="T96" s="163">
        <v>848</v>
      </c>
      <c r="U96" s="163">
        <v>56000</v>
      </c>
      <c r="V96" s="163">
        <v>2152</v>
      </c>
      <c r="W96" s="163">
        <v>1254</v>
      </c>
      <c r="X96" s="163">
        <v>6</v>
      </c>
      <c r="Y96" s="163">
        <v>31</v>
      </c>
      <c r="Z96" s="163">
        <v>340</v>
      </c>
      <c r="AA96" s="163">
        <v>115</v>
      </c>
      <c r="AB96" s="163">
        <v>1890</v>
      </c>
      <c r="AC96" s="163">
        <v>926</v>
      </c>
      <c r="AD96" s="163">
        <v>328</v>
      </c>
      <c r="AE96" s="163">
        <v>0</v>
      </c>
      <c r="AF96" s="163">
        <v>525</v>
      </c>
      <c r="AG96" s="163">
        <v>182</v>
      </c>
      <c r="AH96" s="163">
        <v>41651000</v>
      </c>
      <c r="AI96" s="163">
        <v>40958000</v>
      </c>
    </row>
    <row r="97" spans="1:35" x14ac:dyDescent="0.2">
      <c r="A97" t="s">
        <v>638</v>
      </c>
      <c r="B97" t="s">
        <v>483</v>
      </c>
      <c r="C97" s="163">
        <v>29537837.490950149</v>
      </c>
      <c r="D97" s="163">
        <v>17825671.490950149</v>
      </c>
      <c r="E97" s="163">
        <v>9746309</v>
      </c>
      <c r="F97" s="163">
        <v>4382786.6727609402</v>
      </c>
      <c r="G97" s="163">
        <v>2970518.6727609402</v>
      </c>
      <c r="H97" s="163">
        <v>1412268</v>
      </c>
      <c r="I97" s="163">
        <v>3106698.9582801</v>
      </c>
      <c r="J97" s="163">
        <v>3106698.9582801</v>
      </c>
      <c r="K97" s="163">
        <v>0</v>
      </c>
      <c r="L97" s="163">
        <v>2256823.8652180498</v>
      </c>
      <c r="M97" s="163">
        <v>62135</v>
      </c>
      <c r="N97" s="163">
        <v>73985</v>
      </c>
      <c r="O97" s="163">
        <v>119285</v>
      </c>
      <c r="P97" s="163">
        <v>2001419</v>
      </c>
      <c r="Q97" s="163">
        <v>1798842</v>
      </c>
      <c r="R97" s="163">
        <v>167015</v>
      </c>
      <c r="S97" s="163">
        <v>3221216</v>
      </c>
      <c r="T97" s="163">
        <v>3159</v>
      </c>
      <c r="U97" s="163">
        <v>0</v>
      </c>
      <c r="V97" s="163">
        <v>3933</v>
      </c>
      <c r="W97" s="163">
        <v>1023</v>
      </c>
      <c r="X97" s="163">
        <v>0</v>
      </c>
      <c r="Y97" s="163">
        <v>5</v>
      </c>
      <c r="Z97" s="163">
        <v>373</v>
      </c>
      <c r="AA97" s="163">
        <v>170</v>
      </c>
      <c r="AB97" s="163">
        <v>3190</v>
      </c>
      <c r="AC97" s="163">
        <v>2176</v>
      </c>
      <c r="AD97" s="163">
        <v>449</v>
      </c>
      <c r="AE97" s="163">
        <v>75</v>
      </c>
      <c r="AF97" s="163">
        <v>851</v>
      </c>
      <c r="AG97" s="163">
        <v>31</v>
      </c>
      <c r="AH97" s="163">
        <v>67773000</v>
      </c>
      <c r="AI97" s="163">
        <v>68397000</v>
      </c>
    </row>
    <row r="98" spans="1:35" x14ac:dyDescent="0.2">
      <c r="A98" t="s">
        <v>629</v>
      </c>
      <c r="B98" t="s">
        <v>435</v>
      </c>
      <c r="C98" s="163">
        <v>434096937.57115102</v>
      </c>
      <c r="D98" s="163">
        <v>231083867.57115102</v>
      </c>
      <c r="E98" s="163">
        <v>164934396</v>
      </c>
      <c r="F98" s="163">
        <v>47106450.0259616</v>
      </c>
      <c r="G98" s="163">
        <v>39230372.0259616</v>
      </c>
      <c r="H98" s="163">
        <v>7876078</v>
      </c>
      <c r="I98" s="163">
        <v>73472468.989372805</v>
      </c>
      <c r="J98" s="163">
        <v>28016861.893717639</v>
      </c>
      <c r="K98" s="163">
        <v>45455607.095655166</v>
      </c>
      <c r="L98" s="163">
        <v>44355476.9739663</v>
      </c>
      <c r="M98" s="163">
        <v>8287542</v>
      </c>
      <c r="N98" s="163">
        <v>326652</v>
      </c>
      <c r="O98" s="163">
        <v>1348949</v>
      </c>
      <c r="P98" s="163">
        <v>34392334</v>
      </c>
      <c r="Q98" s="163">
        <v>17881679</v>
      </c>
      <c r="R98" s="163">
        <v>20196995</v>
      </c>
      <c r="S98" s="163">
        <v>105544232</v>
      </c>
      <c r="T98" s="163">
        <v>69875</v>
      </c>
      <c r="U98" s="163">
        <v>7807000</v>
      </c>
      <c r="V98" s="163">
        <v>27178</v>
      </c>
      <c r="W98" s="163">
        <v>30778</v>
      </c>
      <c r="X98" s="163">
        <v>13762</v>
      </c>
      <c r="Y98" s="163">
        <v>959</v>
      </c>
      <c r="Z98" s="163">
        <v>2057</v>
      </c>
      <c r="AA98" s="163">
        <v>1899</v>
      </c>
      <c r="AB98" s="163">
        <v>17431</v>
      </c>
      <c r="AC98" s="163">
        <v>21013</v>
      </c>
      <c r="AD98" s="163">
        <v>4198</v>
      </c>
      <c r="AE98" s="163">
        <v>701</v>
      </c>
      <c r="AF98" s="163">
        <v>5648</v>
      </c>
      <c r="AG98" s="163">
        <v>1171</v>
      </c>
      <c r="AH98" s="163">
        <v>803891000</v>
      </c>
      <c r="AI98" s="163">
        <v>809824000</v>
      </c>
    </row>
    <row r="99" spans="1:35" x14ac:dyDescent="0.2">
      <c r="A99" t="s">
        <v>631</v>
      </c>
      <c r="B99" t="s">
        <v>238</v>
      </c>
      <c r="C99" s="163">
        <v>30681021.807308685</v>
      </c>
      <c r="D99" s="163">
        <v>17480213.807308685</v>
      </c>
      <c r="E99" s="163">
        <v>11362138</v>
      </c>
      <c r="F99" s="163">
        <v>5041790.7996386196</v>
      </c>
      <c r="G99" s="163">
        <v>4388109.7996386196</v>
      </c>
      <c r="H99" s="163">
        <v>653681</v>
      </c>
      <c r="I99" s="163">
        <v>2930628.0763624399</v>
      </c>
      <c r="J99" s="163">
        <v>2930628.0763624399</v>
      </c>
      <c r="K99" s="163">
        <v>0</v>
      </c>
      <c r="L99" s="163">
        <v>3389719.1466939398</v>
      </c>
      <c r="M99" s="163">
        <v>91226</v>
      </c>
      <c r="N99" s="163">
        <v>47462</v>
      </c>
      <c r="O99" s="163">
        <v>120757</v>
      </c>
      <c r="P99" s="163">
        <v>3130274</v>
      </c>
      <c r="Q99" s="163">
        <v>1618118</v>
      </c>
      <c r="R99" s="163">
        <v>220552</v>
      </c>
      <c r="S99" s="163">
        <v>3429860</v>
      </c>
      <c r="T99" s="163">
        <v>194</v>
      </c>
      <c r="U99" s="163">
        <v>75000</v>
      </c>
      <c r="V99" s="163">
        <v>2203</v>
      </c>
      <c r="W99" s="163">
        <v>1341</v>
      </c>
      <c r="X99" s="163">
        <v>28</v>
      </c>
      <c r="Y99" s="163">
        <v>1020</v>
      </c>
      <c r="Z99" s="163">
        <v>185</v>
      </c>
      <c r="AA99" s="163">
        <v>77</v>
      </c>
      <c r="AB99" s="163">
        <v>2074</v>
      </c>
      <c r="AC99" s="163">
        <v>1837</v>
      </c>
      <c r="AD99" s="163">
        <v>394</v>
      </c>
      <c r="AE99" s="163">
        <v>446</v>
      </c>
      <c r="AF99" s="163">
        <v>445</v>
      </c>
      <c r="AG99" s="163">
        <v>282</v>
      </c>
      <c r="AH99" s="163">
        <v>45168000</v>
      </c>
      <c r="AI99" s="163">
        <v>44256000</v>
      </c>
    </row>
    <row r="100" spans="1:35" x14ac:dyDescent="0.2">
      <c r="A100" t="s">
        <v>628</v>
      </c>
      <c r="B100" t="s">
        <v>147</v>
      </c>
      <c r="C100" s="163">
        <v>221843044.80276945</v>
      </c>
      <c r="D100" s="163">
        <v>103224688.80276945</v>
      </c>
      <c r="E100" s="163">
        <v>98241084</v>
      </c>
      <c r="F100" s="163">
        <v>28042112.849130802</v>
      </c>
      <c r="G100" s="163">
        <v>24664811.849130802</v>
      </c>
      <c r="H100" s="163">
        <v>3377301</v>
      </c>
      <c r="I100" s="163">
        <v>38694814.952444002</v>
      </c>
      <c r="J100" s="163">
        <v>18421326.12715096</v>
      </c>
      <c r="K100" s="163">
        <v>20273488.825293042</v>
      </c>
      <c r="L100" s="163">
        <v>31504156.177733399</v>
      </c>
      <c r="M100" s="163">
        <v>5956806</v>
      </c>
      <c r="N100" s="163">
        <v>309900</v>
      </c>
      <c r="O100" s="163">
        <v>564026</v>
      </c>
      <c r="P100" s="163">
        <v>24673424</v>
      </c>
      <c r="Q100" s="163">
        <v>10789062</v>
      </c>
      <c r="R100" s="163">
        <v>9588210</v>
      </c>
      <c r="S100" s="163">
        <v>49612580</v>
      </c>
      <c r="T100" s="163">
        <v>74294</v>
      </c>
      <c r="U100" s="163">
        <v>2200000</v>
      </c>
      <c r="V100" s="163">
        <v>15178</v>
      </c>
      <c r="W100" s="163">
        <v>10020</v>
      </c>
      <c r="X100" s="163">
        <v>4172</v>
      </c>
      <c r="Y100" s="163">
        <v>54</v>
      </c>
      <c r="Z100" s="163">
        <v>470</v>
      </c>
      <c r="AA100" s="163">
        <v>283</v>
      </c>
      <c r="AB100" s="163">
        <v>9694</v>
      </c>
      <c r="AC100" s="163">
        <v>12466</v>
      </c>
      <c r="AD100" s="163">
        <v>1942</v>
      </c>
      <c r="AE100" s="163">
        <v>679</v>
      </c>
      <c r="AF100" s="163">
        <v>2105</v>
      </c>
      <c r="AG100" s="163">
        <v>221</v>
      </c>
      <c r="AH100" s="163">
        <v>439975000</v>
      </c>
      <c r="AI100" s="163">
        <v>445864000</v>
      </c>
    </row>
    <row r="101" spans="1:35" x14ac:dyDescent="0.2">
      <c r="A101" t="s">
        <v>630</v>
      </c>
      <c r="B101" t="s">
        <v>314</v>
      </c>
      <c r="C101" s="163">
        <v>28904409.915589359</v>
      </c>
      <c r="D101" s="163">
        <v>18137030.915589359</v>
      </c>
      <c r="E101" s="163">
        <v>9118016</v>
      </c>
      <c r="F101" s="163">
        <v>4276250.7871821402</v>
      </c>
      <c r="G101" s="163">
        <v>3684634.7871821402</v>
      </c>
      <c r="H101" s="163">
        <v>591616</v>
      </c>
      <c r="I101" s="163">
        <v>2684803.9504002202</v>
      </c>
      <c r="J101" s="163">
        <v>2684803.9504002202</v>
      </c>
      <c r="K101" s="163">
        <v>0</v>
      </c>
      <c r="L101" s="163">
        <v>2156961.3026453899</v>
      </c>
      <c r="M101" s="163">
        <v>364300</v>
      </c>
      <c r="N101" s="163">
        <v>72589</v>
      </c>
      <c r="O101" s="163">
        <v>91304</v>
      </c>
      <c r="P101" s="163">
        <v>1628768</v>
      </c>
      <c r="Q101" s="163">
        <v>1452823</v>
      </c>
      <c r="R101" s="163">
        <v>196540</v>
      </c>
      <c r="S101" s="163">
        <v>4598287</v>
      </c>
      <c r="T101" s="163">
        <v>4795</v>
      </c>
      <c r="U101" s="163">
        <v>250000</v>
      </c>
      <c r="V101" s="163">
        <v>1692</v>
      </c>
      <c r="W101" s="163">
        <v>1726</v>
      </c>
      <c r="X101" s="163">
        <v>146</v>
      </c>
      <c r="Y101" s="163">
        <v>48</v>
      </c>
      <c r="Z101" s="163">
        <v>504</v>
      </c>
      <c r="AA101" s="163">
        <v>2</v>
      </c>
      <c r="AB101" s="163">
        <v>1425</v>
      </c>
      <c r="AC101" s="163">
        <v>2904</v>
      </c>
      <c r="AD101" s="163">
        <v>320</v>
      </c>
      <c r="AE101" s="163">
        <v>230</v>
      </c>
      <c r="AF101" s="163">
        <v>355</v>
      </c>
      <c r="AG101" s="163">
        <v>616</v>
      </c>
      <c r="AH101" s="163">
        <v>46202000</v>
      </c>
      <c r="AI101" s="163">
        <v>46979000</v>
      </c>
    </row>
    <row r="102" spans="1:35" x14ac:dyDescent="0.2">
      <c r="A102" t="s">
        <v>634</v>
      </c>
      <c r="B102" t="s">
        <v>204</v>
      </c>
      <c r="C102" s="163">
        <v>348957781.4915204</v>
      </c>
      <c r="D102" s="163">
        <v>167852431.4915204</v>
      </c>
      <c r="E102" s="163">
        <v>149488767</v>
      </c>
      <c r="F102" s="163">
        <v>42887536.878716998</v>
      </c>
      <c r="G102" s="163">
        <v>37444017.878716998</v>
      </c>
      <c r="H102" s="163">
        <v>5443519</v>
      </c>
      <c r="I102" s="163">
        <v>65941399.167675801</v>
      </c>
      <c r="J102" s="163">
        <v>23559808.722030312</v>
      </c>
      <c r="K102" s="163">
        <v>42381590.445645489</v>
      </c>
      <c r="L102" s="163">
        <v>40659830.906480297</v>
      </c>
      <c r="M102" s="163">
        <v>10926830</v>
      </c>
      <c r="N102" s="163">
        <v>501145</v>
      </c>
      <c r="O102" s="163">
        <v>870337</v>
      </c>
      <c r="P102" s="163">
        <v>28361519</v>
      </c>
      <c r="Q102" s="163">
        <v>12927618</v>
      </c>
      <c r="R102" s="163">
        <v>18688965</v>
      </c>
      <c r="S102" s="163">
        <v>94004716</v>
      </c>
      <c r="T102" s="163">
        <v>110119</v>
      </c>
      <c r="U102" s="163">
        <v>6018000</v>
      </c>
      <c r="V102" s="163">
        <v>19316</v>
      </c>
      <c r="W102" s="163">
        <v>24261</v>
      </c>
      <c r="X102" s="163">
        <v>12473</v>
      </c>
      <c r="Y102" s="163">
        <v>255</v>
      </c>
      <c r="Z102" s="163">
        <v>200</v>
      </c>
      <c r="AA102" s="163">
        <v>1062</v>
      </c>
      <c r="AB102" s="163">
        <v>16286</v>
      </c>
      <c r="AC102" s="163">
        <v>18744</v>
      </c>
      <c r="AD102" s="163">
        <v>3377</v>
      </c>
      <c r="AE102" s="163">
        <v>528</v>
      </c>
      <c r="AF102" s="163">
        <v>3776</v>
      </c>
      <c r="AG102" s="163">
        <v>471</v>
      </c>
      <c r="AH102" s="163">
        <v>624978000</v>
      </c>
      <c r="AI102" s="163">
        <v>638396000</v>
      </c>
    </row>
    <row r="103" spans="1:35" x14ac:dyDescent="0.2">
      <c r="A103" t="s">
        <v>631</v>
      </c>
      <c r="B103" t="s">
        <v>239</v>
      </c>
      <c r="C103" s="163">
        <v>43996445.597161338</v>
      </c>
      <c r="D103" s="163">
        <v>25423061.597161338</v>
      </c>
      <c r="E103" s="163">
        <v>15395411</v>
      </c>
      <c r="F103" s="163">
        <v>5731882.3426425196</v>
      </c>
      <c r="G103" s="163">
        <v>4853396.3426425196</v>
      </c>
      <c r="H103" s="163">
        <v>878486</v>
      </c>
      <c r="I103" s="163">
        <v>4759730.2115633599</v>
      </c>
      <c r="J103" s="163">
        <v>4759730.2115633599</v>
      </c>
      <c r="K103" s="163">
        <v>0</v>
      </c>
      <c r="L103" s="163">
        <v>4903798.0915383697</v>
      </c>
      <c r="M103" s="163">
        <v>381363</v>
      </c>
      <c r="N103" s="163">
        <v>65610</v>
      </c>
      <c r="O103" s="163">
        <v>116340</v>
      </c>
      <c r="P103" s="163">
        <v>4340486</v>
      </c>
      <c r="Q103" s="163">
        <v>2860952</v>
      </c>
      <c r="R103" s="163">
        <v>317021</v>
      </c>
      <c r="S103" s="163">
        <v>6671267</v>
      </c>
      <c r="T103" s="163">
        <v>1324</v>
      </c>
      <c r="U103" s="163">
        <v>321000</v>
      </c>
      <c r="V103" s="163">
        <v>3965</v>
      </c>
      <c r="W103" s="163">
        <v>1512</v>
      </c>
      <c r="X103" s="163">
        <v>0</v>
      </c>
      <c r="Y103" s="163">
        <v>2398</v>
      </c>
      <c r="Z103" s="163">
        <v>662</v>
      </c>
      <c r="AA103" s="163">
        <v>373</v>
      </c>
      <c r="AB103" s="163">
        <v>2511</v>
      </c>
      <c r="AC103" s="163">
        <v>3126</v>
      </c>
      <c r="AD103" s="163">
        <v>631</v>
      </c>
      <c r="AE103" s="163">
        <v>837</v>
      </c>
      <c r="AF103" s="163">
        <v>744</v>
      </c>
      <c r="AG103" s="163">
        <v>104</v>
      </c>
      <c r="AH103" s="163">
        <v>80649000</v>
      </c>
      <c r="AI103" s="163">
        <v>76757000</v>
      </c>
    </row>
    <row r="104" spans="1:35" x14ac:dyDescent="0.2">
      <c r="A104" t="s">
        <v>631</v>
      </c>
      <c r="B104" t="s">
        <v>240</v>
      </c>
      <c r="C104" s="163">
        <v>42903181.426754713</v>
      </c>
      <c r="D104" s="163">
        <v>22421658.426754713</v>
      </c>
      <c r="E104" s="163">
        <v>17865171</v>
      </c>
      <c r="F104" s="163">
        <v>8865929.0020786207</v>
      </c>
      <c r="G104" s="163">
        <v>4768164.9400786208</v>
      </c>
      <c r="H104" s="163">
        <v>4097764.0619999999</v>
      </c>
      <c r="I104" s="163">
        <v>4002379.8921631901</v>
      </c>
      <c r="J104" s="163">
        <v>4002379.8921631901</v>
      </c>
      <c r="K104" s="163">
        <v>0</v>
      </c>
      <c r="L104" s="163">
        <v>3653751.3396688998</v>
      </c>
      <c r="M104" s="163">
        <v>203168</v>
      </c>
      <c r="N104" s="163">
        <v>62818</v>
      </c>
      <c r="O104" s="163">
        <v>126648</v>
      </c>
      <c r="P104" s="163">
        <v>3261118</v>
      </c>
      <c r="Q104" s="163">
        <v>2397831</v>
      </c>
      <c r="R104" s="163">
        <v>218521</v>
      </c>
      <c r="S104" s="163">
        <v>4440291</v>
      </c>
      <c r="T104" s="163">
        <v>2936</v>
      </c>
      <c r="U104" s="163">
        <v>79000</v>
      </c>
      <c r="V104" s="163">
        <v>3103</v>
      </c>
      <c r="W104" s="163">
        <v>3170</v>
      </c>
      <c r="X104" s="163">
        <v>0</v>
      </c>
      <c r="Y104" s="163">
        <v>1335</v>
      </c>
      <c r="Z104" s="163">
        <v>327</v>
      </c>
      <c r="AA104" s="163">
        <v>971</v>
      </c>
      <c r="AB104" s="163">
        <v>2600</v>
      </c>
      <c r="AC104" s="163">
        <v>1832</v>
      </c>
      <c r="AD104" s="163">
        <v>474</v>
      </c>
      <c r="AE104" s="163">
        <v>481</v>
      </c>
      <c r="AF104" s="163">
        <v>632</v>
      </c>
      <c r="AG104" s="163">
        <v>42</v>
      </c>
      <c r="AH104" s="163">
        <v>62271000</v>
      </c>
      <c r="AI104" s="163">
        <v>63915000</v>
      </c>
    </row>
    <row r="105" spans="1:35" x14ac:dyDescent="0.2">
      <c r="A105" t="s">
        <v>629</v>
      </c>
      <c r="B105" t="s">
        <v>436</v>
      </c>
      <c r="C105" s="163">
        <v>58845296.569118753</v>
      </c>
      <c r="D105" s="163">
        <v>35007394.569118753</v>
      </c>
      <c r="E105" s="163">
        <v>20293589</v>
      </c>
      <c r="F105" s="163">
        <v>8501997.2895653602</v>
      </c>
      <c r="G105" s="163">
        <v>7361356.2895653602</v>
      </c>
      <c r="H105" s="163">
        <v>1140641</v>
      </c>
      <c r="I105" s="163">
        <v>5504739.7093785498</v>
      </c>
      <c r="J105" s="163">
        <v>5504739.7093785498</v>
      </c>
      <c r="K105" s="163">
        <v>0</v>
      </c>
      <c r="L105" s="163">
        <v>6286852.0501582902</v>
      </c>
      <c r="M105" s="163">
        <v>609203</v>
      </c>
      <c r="N105" s="163">
        <v>68401</v>
      </c>
      <c r="O105" s="163">
        <v>156101</v>
      </c>
      <c r="P105" s="163">
        <v>5453146</v>
      </c>
      <c r="Q105" s="163">
        <v>3178658</v>
      </c>
      <c r="R105" s="163">
        <v>365655</v>
      </c>
      <c r="S105" s="163">
        <v>10091273</v>
      </c>
      <c r="T105" s="163">
        <v>3316</v>
      </c>
      <c r="U105" s="163">
        <v>304000</v>
      </c>
      <c r="V105" s="163">
        <v>4788</v>
      </c>
      <c r="W105" s="163">
        <v>3355</v>
      </c>
      <c r="X105" s="163">
        <v>1320</v>
      </c>
      <c r="Y105" s="163">
        <v>40</v>
      </c>
      <c r="Z105" s="163">
        <v>0</v>
      </c>
      <c r="AA105" s="163">
        <v>219</v>
      </c>
      <c r="AB105" s="163">
        <v>4028</v>
      </c>
      <c r="AC105" s="163">
        <v>3805</v>
      </c>
      <c r="AD105" s="163">
        <v>773</v>
      </c>
      <c r="AE105" s="163">
        <v>106</v>
      </c>
      <c r="AF105" s="163">
        <v>643</v>
      </c>
      <c r="AG105" s="163">
        <v>216</v>
      </c>
      <c r="AH105" s="163">
        <v>103891060</v>
      </c>
      <c r="AI105" s="163">
        <v>107556629.99999999</v>
      </c>
    </row>
    <row r="106" spans="1:35" x14ac:dyDescent="0.2">
      <c r="A106" t="s">
        <v>632</v>
      </c>
      <c r="B106" t="s">
        <v>183</v>
      </c>
      <c r="C106" s="163">
        <v>14604092.930113986</v>
      </c>
      <c r="D106" s="163">
        <v>9390814.9301139861</v>
      </c>
      <c r="E106" s="163">
        <v>4479639</v>
      </c>
      <c r="F106" s="163">
        <v>1949676.60043272</v>
      </c>
      <c r="G106" s="163">
        <v>1617372.60043272</v>
      </c>
      <c r="H106" s="163">
        <v>332304</v>
      </c>
      <c r="I106" s="163">
        <v>1146181.3990608701</v>
      </c>
      <c r="J106" s="163">
        <v>1146181.3990608701</v>
      </c>
      <c r="K106" s="163">
        <v>0</v>
      </c>
      <c r="L106" s="163">
        <v>1383781.09176443</v>
      </c>
      <c r="M106" s="163">
        <v>257116</v>
      </c>
      <c r="N106" s="163">
        <v>18147</v>
      </c>
      <c r="O106" s="163">
        <v>26508</v>
      </c>
      <c r="P106" s="163">
        <v>1082010</v>
      </c>
      <c r="Q106" s="163">
        <v>639653</v>
      </c>
      <c r="R106" s="163">
        <v>93986</v>
      </c>
      <c r="S106" s="163">
        <v>2725219</v>
      </c>
      <c r="T106" s="163">
        <v>2515</v>
      </c>
      <c r="U106" s="163">
        <v>0</v>
      </c>
      <c r="V106" s="163">
        <v>1017</v>
      </c>
      <c r="W106" s="163">
        <v>611</v>
      </c>
      <c r="X106" s="163">
        <v>0</v>
      </c>
      <c r="Y106" s="163">
        <v>0</v>
      </c>
      <c r="Z106" s="163">
        <v>10</v>
      </c>
      <c r="AA106" s="163">
        <v>11</v>
      </c>
      <c r="AB106" s="163">
        <v>641</v>
      </c>
      <c r="AC106" s="163">
        <v>991</v>
      </c>
      <c r="AD106" s="163">
        <v>129</v>
      </c>
      <c r="AE106" s="163">
        <v>15</v>
      </c>
      <c r="AF106" s="163">
        <v>125</v>
      </c>
      <c r="AG106" s="163">
        <v>0</v>
      </c>
      <c r="AH106" s="163">
        <v>19963000</v>
      </c>
      <c r="AI106" s="163">
        <v>19954000</v>
      </c>
    </row>
    <row r="107" spans="1:35" x14ac:dyDescent="0.2">
      <c r="A107" t="s">
        <v>629</v>
      </c>
      <c r="B107" t="s">
        <v>437</v>
      </c>
      <c r="C107" s="163">
        <v>27057712.810263678</v>
      </c>
      <c r="D107" s="163">
        <v>16635807.810263678</v>
      </c>
      <c r="E107" s="163">
        <v>8628348</v>
      </c>
      <c r="F107" s="163">
        <v>3556380.62727613</v>
      </c>
      <c r="G107" s="163">
        <v>3210319.62727613</v>
      </c>
      <c r="H107" s="163">
        <v>346061</v>
      </c>
      <c r="I107" s="163">
        <v>2791067.91370446</v>
      </c>
      <c r="J107" s="163">
        <v>2791067.91370446</v>
      </c>
      <c r="K107" s="163">
        <v>0</v>
      </c>
      <c r="L107" s="163">
        <v>2280899.2394286799</v>
      </c>
      <c r="M107" s="163">
        <v>249817</v>
      </c>
      <c r="N107" s="163">
        <v>20939</v>
      </c>
      <c r="O107" s="163">
        <v>110449</v>
      </c>
      <c r="P107" s="163">
        <v>1899694</v>
      </c>
      <c r="Q107" s="163">
        <v>1646036</v>
      </c>
      <c r="R107" s="163">
        <v>147521</v>
      </c>
      <c r="S107" s="163">
        <v>4215788</v>
      </c>
      <c r="T107" s="163">
        <v>3106</v>
      </c>
      <c r="U107" s="163">
        <v>75000</v>
      </c>
      <c r="V107" s="163">
        <v>2483</v>
      </c>
      <c r="W107" s="163">
        <v>2985</v>
      </c>
      <c r="X107" s="163">
        <v>0</v>
      </c>
      <c r="Y107" s="163">
        <v>38</v>
      </c>
      <c r="Z107" s="163">
        <v>0</v>
      </c>
      <c r="AA107" s="163">
        <v>88</v>
      </c>
      <c r="AB107" s="163">
        <v>2770</v>
      </c>
      <c r="AC107" s="163">
        <v>2240</v>
      </c>
      <c r="AD107" s="163">
        <v>346</v>
      </c>
      <c r="AE107" s="163">
        <v>48</v>
      </c>
      <c r="AF107" s="163">
        <v>346</v>
      </c>
      <c r="AG107" s="163">
        <v>12</v>
      </c>
      <c r="AH107" s="163">
        <v>46632000</v>
      </c>
      <c r="AI107" s="163">
        <v>48752000</v>
      </c>
    </row>
    <row r="108" spans="1:35" x14ac:dyDescent="0.2">
      <c r="A108" t="s">
        <v>631</v>
      </c>
      <c r="B108" t="s">
        <v>241</v>
      </c>
      <c r="C108" s="163">
        <v>32040897.004940066</v>
      </c>
      <c r="D108" s="163">
        <v>20953522.004940066</v>
      </c>
      <c r="E108" s="163">
        <v>9223487</v>
      </c>
      <c r="F108" s="163">
        <v>3901826.8776462502</v>
      </c>
      <c r="G108" s="163">
        <v>3426706.8776462502</v>
      </c>
      <c r="H108" s="163">
        <v>475120</v>
      </c>
      <c r="I108" s="163">
        <v>2981408.9004081301</v>
      </c>
      <c r="J108" s="163">
        <v>2981408.9004081301</v>
      </c>
      <c r="K108" s="163">
        <v>0</v>
      </c>
      <c r="L108" s="163">
        <v>2340251.3690818301</v>
      </c>
      <c r="M108" s="163">
        <v>65576</v>
      </c>
      <c r="N108" s="163">
        <v>33503</v>
      </c>
      <c r="O108" s="163">
        <v>95722</v>
      </c>
      <c r="P108" s="163">
        <v>2145450</v>
      </c>
      <c r="Q108" s="163">
        <v>1645888</v>
      </c>
      <c r="R108" s="163">
        <v>218000</v>
      </c>
      <c r="S108" s="163">
        <v>3733126</v>
      </c>
      <c r="T108" s="163">
        <v>2734</v>
      </c>
      <c r="U108" s="163">
        <v>171000</v>
      </c>
      <c r="V108" s="163">
        <v>4204</v>
      </c>
      <c r="W108" s="163">
        <v>3343</v>
      </c>
      <c r="X108" s="163">
        <v>346</v>
      </c>
      <c r="Y108" s="163">
        <v>3067</v>
      </c>
      <c r="Z108" s="163">
        <v>102</v>
      </c>
      <c r="AA108" s="163">
        <v>194</v>
      </c>
      <c r="AB108" s="163">
        <v>3618</v>
      </c>
      <c r="AC108" s="163">
        <v>0</v>
      </c>
      <c r="AD108" s="163">
        <v>501</v>
      </c>
      <c r="AE108" s="163">
        <v>522</v>
      </c>
      <c r="AF108" s="163">
        <v>702</v>
      </c>
      <c r="AG108" s="163">
        <v>102</v>
      </c>
      <c r="AH108" s="163">
        <v>72901000</v>
      </c>
      <c r="AI108" s="163">
        <v>65923000</v>
      </c>
    </row>
    <row r="109" spans="1:35" x14ac:dyDescent="0.2">
      <c r="A109" t="s">
        <v>629</v>
      </c>
      <c r="B109" t="s">
        <v>438</v>
      </c>
      <c r="C109" s="163">
        <v>48741395.034792095</v>
      </c>
      <c r="D109" s="163">
        <v>30281082.034792095</v>
      </c>
      <c r="E109" s="163">
        <v>14995352</v>
      </c>
      <c r="F109" s="163">
        <v>7486860.1282285396</v>
      </c>
      <c r="G109" s="163">
        <v>6235450.1282285396</v>
      </c>
      <c r="H109" s="163">
        <v>1251410</v>
      </c>
      <c r="I109" s="163">
        <v>5033167.0060808901</v>
      </c>
      <c r="J109" s="163">
        <v>5033167.0060808901</v>
      </c>
      <c r="K109" s="163">
        <v>0</v>
      </c>
      <c r="L109" s="163">
        <v>2475324.6655282001</v>
      </c>
      <c r="M109" s="163">
        <v>625212</v>
      </c>
      <c r="N109" s="163">
        <v>43274</v>
      </c>
      <c r="O109" s="163">
        <v>187027</v>
      </c>
      <c r="P109" s="163">
        <v>1619811</v>
      </c>
      <c r="Q109" s="163">
        <v>3110097</v>
      </c>
      <c r="R109" s="163">
        <v>354864</v>
      </c>
      <c r="S109" s="163">
        <v>10130960</v>
      </c>
      <c r="T109" s="163">
        <v>14575</v>
      </c>
      <c r="U109" s="163">
        <v>352000</v>
      </c>
      <c r="V109" s="163">
        <v>3328</v>
      </c>
      <c r="W109" s="163">
        <v>1574</v>
      </c>
      <c r="X109" s="163">
        <v>412</v>
      </c>
      <c r="Y109" s="163">
        <v>0</v>
      </c>
      <c r="Z109" s="163">
        <v>407</v>
      </c>
      <c r="AA109" s="163">
        <v>328</v>
      </c>
      <c r="AB109" s="163">
        <v>3478</v>
      </c>
      <c r="AC109" s="163">
        <v>3145</v>
      </c>
      <c r="AD109" s="163">
        <v>736</v>
      </c>
      <c r="AE109" s="163">
        <v>1</v>
      </c>
      <c r="AF109" s="163">
        <v>733</v>
      </c>
      <c r="AG109" s="163">
        <v>201</v>
      </c>
      <c r="AH109" s="163">
        <v>84355000</v>
      </c>
      <c r="AI109" s="163">
        <v>84985000</v>
      </c>
    </row>
    <row r="110" spans="1:35" x14ac:dyDescent="0.2">
      <c r="A110" t="s">
        <v>629</v>
      </c>
      <c r="B110" t="s">
        <v>439</v>
      </c>
      <c r="C110" s="163">
        <v>40979267.633131191</v>
      </c>
      <c r="D110" s="163">
        <v>24156386.633131191</v>
      </c>
      <c r="E110" s="163">
        <v>14483662</v>
      </c>
      <c r="F110" s="163">
        <v>6043738.2780564902</v>
      </c>
      <c r="G110" s="163">
        <v>4460491.2780564902</v>
      </c>
      <c r="H110" s="163">
        <v>1583247</v>
      </c>
      <c r="I110" s="163">
        <v>3643206.24856437</v>
      </c>
      <c r="J110" s="163">
        <v>3643206.24856437</v>
      </c>
      <c r="K110" s="163">
        <v>0</v>
      </c>
      <c r="L110" s="163">
        <v>4796717.4208791396</v>
      </c>
      <c r="M110" s="163">
        <v>219863</v>
      </c>
      <c r="N110" s="163">
        <v>29315</v>
      </c>
      <c r="O110" s="163">
        <v>156101</v>
      </c>
      <c r="P110" s="163">
        <v>4391439</v>
      </c>
      <c r="Q110" s="163">
        <v>2114036</v>
      </c>
      <c r="R110" s="163">
        <v>225183</v>
      </c>
      <c r="S110" s="163">
        <v>5215853</v>
      </c>
      <c r="T110" s="163">
        <v>5235</v>
      </c>
      <c r="U110" s="163">
        <v>136000</v>
      </c>
      <c r="V110" s="163">
        <v>4865</v>
      </c>
      <c r="W110" s="163">
        <v>2537</v>
      </c>
      <c r="X110" s="163">
        <v>5</v>
      </c>
      <c r="Y110" s="163">
        <v>0</v>
      </c>
      <c r="Z110" s="163">
        <v>305</v>
      </c>
      <c r="AA110" s="163">
        <v>197</v>
      </c>
      <c r="AB110" s="163">
        <v>2248</v>
      </c>
      <c r="AC110" s="163">
        <v>1752</v>
      </c>
      <c r="AD110" s="163">
        <v>517</v>
      </c>
      <c r="AE110" s="163">
        <v>42</v>
      </c>
      <c r="AF110" s="163">
        <v>1020</v>
      </c>
      <c r="AG110" s="163">
        <v>75</v>
      </c>
      <c r="AH110" s="163">
        <v>66334000</v>
      </c>
      <c r="AI110" s="163">
        <v>61041000</v>
      </c>
    </row>
    <row r="111" spans="1:35" x14ac:dyDescent="0.2">
      <c r="A111" t="s">
        <v>638</v>
      </c>
      <c r="B111" t="s">
        <v>484</v>
      </c>
      <c r="C111" s="163">
        <v>28821255.77727703</v>
      </c>
      <c r="D111" s="163">
        <v>14160465.77727703</v>
      </c>
      <c r="E111" s="163">
        <v>12672625</v>
      </c>
      <c r="F111" s="163">
        <v>3941899.6134973499</v>
      </c>
      <c r="G111" s="163">
        <v>3521424.6134973499</v>
      </c>
      <c r="H111" s="163">
        <v>420475</v>
      </c>
      <c r="I111" s="163">
        <v>2962719.2625626498</v>
      </c>
      <c r="J111" s="163">
        <v>2962719.2625626498</v>
      </c>
      <c r="K111" s="163">
        <v>0</v>
      </c>
      <c r="L111" s="163">
        <v>5768005.7866379898</v>
      </c>
      <c r="M111" s="163">
        <v>254362</v>
      </c>
      <c r="N111" s="163">
        <v>23731</v>
      </c>
      <c r="O111" s="163">
        <v>116340</v>
      </c>
      <c r="P111" s="163">
        <v>5373573</v>
      </c>
      <c r="Q111" s="163">
        <v>1788728</v>
      </c>
      <c r="R111" s="163">
        <v>199437</v>
      </c>
      <c r="S111" s="163">
        <v>3592200</v>
      </c>
      <c r="T111" s="163">
        <v>2310</v>
      </c>
      <c r="U111" s="163">
        <v>97000</v>
      </c>
      <c r="V111" s="163">
        <v>1953</v>
      </c>
      <c r="W111" s="163">
        <v>1018</v>
      </c>
      <c r="X111" s="163">
        <v>5</v>
      </c>
      <c r="Y111" s="163">
        <v>0</v>
      </c>
      <c r="Z111" s="163">
        <v>1388</v>
      </c>
      <c r="AA111" s="163">
        <v>109</v>
      </c>
      <c r="AB111" s="163">
        <v>1931</v>
      </c>
      <c r="AC111" s="163">
        <v>1019</v>
      </c>
      <c r="AD111" s="163">
        <v>297</v>
      </c>
      <c r="AE111" s="163">
        <v>45</v>
      </c>
      <c r="AF111" s="163">
        <v>227</v>
      </c>
      <c r="AG111" s="163">
        <v>70</v>
      </c>
      <c r="AH111" s="163">
        <v>43723000</v>
      </c>
      <c r="AI111" s="163">
        <v>46138000</v>
      </c>
    </row>
    <row r="112" spans="1:35" x14ac:dyDescent="0.2">
      <c r="A112" t="s">
        <v>633</v>
      </c>
      <c r="B112" t="s">
        <v>357</v>
      </c>
      <c r="C112" s="163">
        <v>16477112.665167656</v>
      </c>
      <c r="D112" s="163">
        <v>11388613.665167656</v>
      </c>
      <c r="E112" s="163">
        <v>4079523</v>
      </c>
      <c r="F112" s="163">
        <v>2015461.28940227</v>
      </c>
      <c r="G112" s="163">
        <v>1749998.28940227</v>
      </c>
      <c r="H112" s="163">
        <v>265463</v>
      </c>
      <c r="I112" s="163">
        <v>1470161.98489677</v>
      </c>
      <c r="J112" s="163">
        <v>1470161.98489677</v>
      </c>
      <c r="K112" s="163">
        <v>0</v>
      </c>
      <c r="L112" s="163">
        <v>593899.78065320197</v>
      </c>
      <c r="M112" s="163">
        <v>36196</v>
      </c>
      <c r="N112" s="163">
        <v>11168</v>
      </c>
      <c r="O112" s="163">
        <v>27980</v>
      </c>
      <c r="P112" s="163">
        <v>518556</v>
      </c>
      <c r="Q112" s="163">
        <v>826983</v>
      </c>
      <c r="R112" s="163">
        <v>181993</v>
      </c>
      <c r="S112" s="163">
        <v>1473244</v>
      </c>
      <c r="T112" s="163">
        <v>1649</v>
      </c>
      <c r="U112" s="163">
        <v>54000</v>
      </c>
      <c r="V112" s="163">
        <v>1873</v>
      </c>
      <c r="W112" s="163">
        <v>863</v>
      </c>
      <c r="X112" s="163">
        <v>0</v>
      </c>
      <c r="Y112" s="163">
        <v>7</v>
      </c>
      <c r="Z112" s="163">
        <v>0</v>
      </c>
      <c r="AA112" s="163">
        <v>70</v>
      </c>
      <c r="AB112" s="163">
        <v>1205</v>
      </c>
      <c r="AC112" s="163">
        <v>1297</v>
      </c>
      <c r="AD112" s="163">
        <v>262</v>
      </c>
      <c r="AE112" s="163">
        <v>164</v>
      </c>
      <c r="AF112" s="163">
        <v>759</v>
      </c>
      <c r="AG112" s="163">
        <v>3</v>
      </c>
      <c r="AH112" s="163">
        <v>38537000</v>
      </c>
      <c r="AI112" s="163">
        <v>29215000</v>
      </c>
    </row>
    <row r="113" spans="1:35" x14ac:dyDescent="0.2">
      <c r="A113" t="s">
        <v>629</v>
      </c>
      <c r="B113" t="s">
        <v>440</v>
      </c>
      <c r="C113" s="163">
        <v>32419639.190930236</v>
      </c>
      <c r="D113" s="163">
        <v>19701009.190930236</v>
      </c>
      <c r="E113" s="163">
        <v>9719618</v>
      </c>
      <c r="F113" s="163">
        <v>4209718.2370026298</v>
      </c>
      <c r="G113" s="163">
        <v>3658691.2370026298</v>
      </c>
      <c r="H113" s="163">
        <v>551027</v>
      </c>
      <c r="I113" s="163">
        <v>3308782.5693728798</v>
      </c>
      <c r="J113" s="163">
        <v>3308782.5693728798</v>
      </c>
      <c r="K113" s="163">
        <v>0</v>
      </c>
      <c r="L113" s="163">
        <v>2201117.4542697002</v>
      </c>
      <c r="M113" s="163">
        <v>387313</v>
      </c>
      <c r="N113" s="163">
        <v>18147</v>
      </c>
      <c r="O113" s="163">
        <v>64797</v>
      </c>
      <c r="P113" s="163">
        <v>1730861</v>
      </c>
      <c r="Q113" s="163">
        <v>1919600</v>
      </c>
      <c r="R113" s="163">
        <v>1079412</v>
      </c>
      <c r="S113" s="163">
        <v>5717357</v>
      </c>
      <c r="T113" s="163">
        <v>3514</v>
      </c>
      <c r="U113" s="163">
        <v>349000</v>
      </c>
      <c r="V113" s="163">
        <v>2614</v>
      </c>
      <c r="W113" s="163">
        <v>3050</v>
      </c>
      <c r="X113" s="163">
        <v>0</v>
      </c>
      <c r="Y113" s="163">
        <v>0</v>
      </c>
      <c r="Z113" s="163">
        <v>218</v>
      </c>
      <c r="AA113" s="163">
        <v>124</v>
      </c>
      <c r="AB113" s="163">
        <v>1581</v>
      </c>
      <c r="AC113" s="163">
        <v>1927</v>
      </c>
      <c r="AD113" s="163">
        <v>489</v>
      </c>
      <c r="AE113" s="163">
        <v>0</v>
      </c>
      <c r="AF113" s="163">
        <v>473</v>
      </c>
      <c r="AG113" s="163">
        <v>99</v>
      </c>
      <c r="AH113" s="163">
        <v>59919000</v>
      </c>
      <c r="AI113" s="163">
        <v>61111000</v>
      </c>
    </row>
    <row r="114" spans="1:35" x14ac:dyDescent="0.2">
      <c r="A114" t="s">
        <v>633</v>
      </c>
      <c r="B114" t="s">
        <v>358</v>
      </c>
      <c r="C114" s="163">
        <v>64235753.026393346</v>
      </c>
      <c r="D114" s="163">
        <v>39536337.026393346</v>
      </c>
      <c r="E114" s="163">
        <v>20312544</v>
      </c>
      <c r="F114" s="163">
        <v>8329417.2805032497</v>
      </c>
      <c r="G114" s="163">
        <v>7604595.2805032497</v>
      </c>
      <c r="H114" s="163">
        <v>724822</v>
      </c>
      <c r="I114" s="163">
        <v>6571473.1126314998</v>
      </c>
      <c r="J114" s="163">
        <v>6571473.1126314998</v>
      </c>
      <c r="K114" s="163">
        <v>0</v>
      </c>
      <c r="L114" s="163">
        <v>5411653.5477896202</v>
      </c>
      <c r="M114" s="163">
        <v>124499</v>
      </c>
      <c r="N114" s="163">
        <v>67005</v>
      </c>
      <c r="O114" s="163">
        <v>138429</v>
      </c>
      <c r="P114" s="163">
        <v>5081719</v>
      </c>
      <c r="Q114" s="163">
        <v>3706199</v>
      </c>
      <c r="R114" s="163">
        <v>680673</v>
      </c>
      <c r="S114" s="163">
        <v>7124166</v>
      </c>
      <c r="T114" s="163">
        <v>10774</v>
      </c>
      <c r="U114" s="163">
        <v>180000</v>
      </c>
      <c r="V114" s="163">
        <v>6168</v>
      </c>
      <c r="W114" s="163">
        <v>2039</v>
      </c>
      <c r="X114" s="163">
        <v>12</v>
      </c>
      <c r="Y114" s="163">
        <v>15</v>
      </c>
      <c r="Z114" s="163">
        <v>1626</v>
      </c>
      <c r="AA114" s="163">
        <v>1123</v>
      </c>
      <c r="AB114" s="163">
        <v>6113</v>
      </c>
      <c r="AC114" s="163">
        <v>4421</v>
      </c>
      <c r="AD114" s="163">
        <v>861</v>
      </c>
      <c r="AE114" s="163">
        <v>997</v>
      </c>
      <c r="AF114" s="163">
        <v>1207</v>
      </c>
      <c r="AG114" s="163">
        <v>358</v>
      </c>
      <c r="AH114" s="163">
        <v>107563000</v>
      </c>
      <c r="AI114" s="163">
        <v>110165000</v>
      </c>
    </row>
    <row r="115" spans="1:35" x14ac:dyDescent="0.2">
      <c r="A115" t="s">
        <v>640</v>
      </c>
      <c r="B115" t="s">
        <v>404</v>
      </c>
      <c r="C115" s="163">
        <v>61224368.854318798</v>
      </c>
      <c r="D115" s="163">
        <v>37209860.854318798</v>
      </c>
      <c r="E115" s="163">
        <v>19945994</v>
      </c>
      <c r="F115" s="163">
        <v>7086103.5233396003</v>
      </c>
      <c r="G115" s="163">
        <v>6342881.5233396003</v>
      </c>
      <c r="H115" s="163">
        <v>743222</v>
      </c>
      <c r="I115" s="163">
        <v>6046739.9988774396</v>
      </c>
      <c r="J115" s="163">
        <v>6046739.9988774396</v>
      </c>
      <c r="K115" s="163">
        <v>0</v>
      </c>
      <c r="L115" s="163">
        <v>6813150.4525567098</v>
      </c>
      <c r="M115" s="163">
        <v>865099</v>
      </c>
      <c r="N115" s="163">
        <v>71193</v>
      </c>
      <c r="O115" s="163">
        <v>185554</v>
      </c>
      <c r="P115" s="163">
        <v>5691304</v>
      </c>
      <c r="Q115" s="163">
        <v>3616117</v>
      </c>
      <c r="R115" s="163">
        <v>452397</v>
      </c>
      <c r="S115" s="163">
        <v>10662189</v>
      </c>
      <c r="T115" s="163">
        <v>25754</v>
      </c>
      <c r="U115" s="163">
        <v>290000</v>
      </c>
      <c r="V115" s="163">
        <v>5339</v>
      </c>
      <c r="W115" s="163">
        <v>4737</v>
      </c>
      <c r="X115" s="163">
        <v>3770</v>
      </c>
      <c r="Y115" s="163">
        <v>1117</v>
      </c>
      <c r="Z115" s="163">
        <v>254</v>
      </c>
      <c r="AA115" s="163">
        <v>533</v>
      </c>
      <c r="AB115" s="163">
        <v>3916</v>
      </c>
      <c r="AC115" s="163">
        <v>4376</v>
      </c>
      <c r="AD115" s="163">
        <v>960</v>
      </c>
      <c r="AE115" s="163">
        <v>490</v>
      </c>
      <c r="AF115" s="163">
        <v>977</v>
      </c>
      <c r="AG115" s="163">
        <v>395</v>
      </c>
      <c r="AH115" s="163">
        <v>117476000</v>
      </c>
      <c r="AI115" s="163">
        <v>114977000</v>
      </c>
    </row>
    <row r="116" spans="1:35" x14ac:dyDescent="0.2">
      <c r="A116" t="s">
        <v>629</v>
      </c>
      <c r="B116" t="s">
        <v>441</v>
      </c>
      <c r="C116" s="163">
        <v>31090253.740683738</v>
      </c>
      <c r="D116" s="163">
        <v>17987427.740683738</v>
      </c>
      <c r="E116" s="163">
        <v>11134188</v>
      </c>
      <c r="F116" s="163">
        <v>4967121.1627557399</v>
      </c>
      <c r="G116" s="163">
        <v>3431911.1627557399</v>
      </c>
      <c r="H116" s="163">
        <v>1535210</v>
      </c>
      <c r="I116" s="163">
        <v>2985967.88025958</v>
      </c>
      <c r="J116" s="163">
        <v>2985967.88025958</v>
      </c>
      <c r="K116" s="163">
        <v>0</v>
      </c>
      <c r="L116" s="163">
        <v>2907189.9953314299</v>
      </c>
      <c r="M116" s="163">
        <v>233138</v>
      </c>
      <c r="N116" s="163">
        <v>33503</v>
      </c>
      <c r="O116" s="163">
        <v>86886</v>
      </c>
      <c r="P116" s="163">
        <v>2553663</v>
      </c>
      <c r="Q116" s="163">
        <v>1790794</v>
      </c>
      <c r="R116" s="163">
        <v>177844</v>
      </c>
      <c r="S116" s="163">
        <v>4093767</v>
      </c>
      <c r="T116" s="163">
        <v>18031</v>
      </c>
      <c r="U116" s="163">
        <v>59000</v>
      </c>
      <c r="V116" s="163">
        <v>3120</v>
      </c>
      <c r="W116" s="163">
        <v>1403</v>
      </c>
      <c r="X116" s="163">
        <v>69</v>
      </c>
      <c r="Y116" s="163">
        <v>15</v>
      </c>
      <c r="Z116" s="163">
        <v>25</v>
      </c>
      <c r="AA116" s="163">
        <v>355</v>
      </c>
      <c r="AB116" s="163">
        <v>2166</v>
      </c>
      <c r="AC116" s="163">
        <v>1586</v>
      </c>
      <c r="AD116" s="163">
        <v>457</v>
      </c>
      <c r="AE116" s="163">
        <v>0</v>
      </c>
      <c r="AF116" s="163">
        <v>645</v>
      </c>
      <c r="AG116" s="163">
        <v>171</v>
      </c>
      <c r="AH116" s="163">
        <v>54282000</v>
      </c>
      <c r="AI116" s="163">
        <v>55446000</v>
      </c>
    </row>
    <row r="117" spans="1:35" x14ac:dyDescent="0.2">
      <c r="A117" t="s">
        <v>630</v>
      </c>
      <c r="B117" t="s">
        <v>586</v>
      </c>
      <c r="C117" s="163">
        <v>66317906.355282836</v>
      </c>
      <c r="D117" s="163">
        <v>47107648.355282836</v>
      </c>
      <c r="E117" s="163">
        <v>15295580</v>
      </c>
      <c r="F117" s="163">
        <v>7225316.8904667404</v>
      </c>
      <c r="G117" s="163">
        <v>6197992.8904667404</v>
      </c>
      <c r="H117" s="163">
        <v>1027324</v>
      </c>
      <c r="I117" s="163">
        <v>5501974.2508181799</v>
      </c>
      <c r="J117" s="163">
        <v>5501974.2508181799</v>
      </c>
      <c r="K117" s="163">
        <v>0</v>
      </c>
      <c r="L117" s="163">
        <v>2568288.3972229999</v>
      </c>
      <c r="M117" s="163">
        <v>536884</v>
      </c>
      <c r="N117" s="163">
        <v>48858</v>
      </c>
      <c r="O117" s="163">
        <v>82469</v>
      </c>
      <c r="P117" s="163">
        <v>1900077</v>
      </c>
      <c r="Q117" s="163">
        <v>3388165</v>
      </c>
      <c r="R117" s="163">
        <v>526513</v>
      </c>
      <c r="S117" s="163">
        <v>11863391</v>
      </c>
      <c r="T117" s="163">
        <v>23502</v>
      </c>
      <c r="U117" s="163">
        <v>286000</v>
      </c>
      <c r="V117" s="163">
        <v>7687</v>
      </c>
      <c r="W117" s="163">
        <v>2370</v>
      </c>
      <c r="X117" s="163">
        <v>2485</v>
      </c>
      <c r="Y117" s="163">
        <v>2154</v>
      </c>
      <c r="Z117" s="163">
        <v>215</v>
      </c>
      <c r="AA117" s="163">
        <v>504</v>
      </c>
      <c r="AB117" s="163">
        <v>5438</v>
      </c>
      <c r="AC117" s="163">
        <v>5826</v>
      </c>
      <c r="AD117" s="163">
        <v>1337</v>
      </c>
      <c r="AE117" s="163">
        <v>794</v>
      </c>
      <c r="AF117" s="163">
        <v>1104</v>
      </c>
      <c r="AG117" s="163">
        <v>308</v>
      </c>
      <c r="AH117" s="163">
        <v>121113000</v>
      </c>
      <c r="AI117" s="163">
        <v>119554000</v>
      </c>
    </row>
    <row r="118" spans="1:35" x14ac:dyDescent="0.2">
      <c r="A118" t="s">
        <v>633</v>
      </c>
      <c r="B118" t="s">
        <v>359</v>
      </c>
      <c r="C118" s="163">
        <v>60308936.996282555</v>
      </c>
      <c r="D118" s="163">
        <v>36906519.996282555</v>
      </c>
      <c r="E118" s="163">
        <v>20063883</v>
      </c>
      <c r="F118" s="163">
        <v>8113154.1778206499</v>
      </c>
      <c r="G118" s="163">
        <v>7215988.1778206499</v>
      </c>
      <c r="H118" s="163">
        <v>897166</v>
      </c>
      <c r="I118" s="163">
        <v>5027333.6078054002</v>
      </c>
      <c r="J118" s="163">
        <v>5027333.6078054002</v>
      </c>
      <c r="K118" s="163">
        <v>0</v>
      </c>
      <c r="L118" s="163">
        <v>6923395.3358842405</v>
      </c>
      <c r="M118" s="163">
        <v>807573</v>
      </c>
      <c r="N118" s="163">
        <v>92132</v>
      </c>
      <c r="O118" s="163">
        <v>248878</v>
      </c>
      <c r="P118" s="163">
        <v>5774811</v>
      </c>
      <c r="Q118" s="163">
        <v>2904420</v>
      </c>
      <c r="R118" s="163">
        <v>434114</v>
      </c>
      <c r="S118" s="163">
        <v>11649646</v>
      </c>
      <c r="T118" s="163">
        <v>1508</v>
      </c>
      <c r="U118" s="163">
        <v>1178000</v>
      </c>
      <c r="V118" s="163">
        <v>4381</v>
      </c>
      <c r="W118" s="163">
        <v>5019</v>
      </c>
      <c r="X118" s="163">
        <v>2217</v>
      </c>
      <c r="Y118" s="163">
        <v>487</v>
      </c>
      <c r="Z118" s="163">
        <v>0</v>
      </c>
      <c r="AA118" s="163">
        <v>278</v>
      </c>
      <c r="AB118" s="163">
        <v>3838</v>
      </c>
      <c r="AC118" s="163">
        <v>3266</v>
      </c>
      <c r="AD118" s="163">
        <v>744</v>
      </c>
      <c r="AE118" s="163">
        <v>424</v>
      </c>
      <c r="AF118" s="163">
        <v>897</v>
      </c>
      <c r="AG118" s="163">
        <v>1479</v>
      </c>
      <c r="AH118" s="163">
        <v>125621000</v>
      </c>
      <c r="AI118" s="163">
        <v>121371000</v>
      </c>
    </row>
    <row r="119" spans="1:35" x14ac:dyDescent="0.2">
      <c r="A119" t="s">
        <v>633</v>
      </c>
      <c r="B119" t="s">
        <v>360</v>
      </c>
      <c r="C119" s="163">
        <v>144975898.75208724</v>
      </c>
      <c r="D119" s="163">
        <v>80198984.752087235</v>
      </c>
      <c r="E119" s="163">
        <v>55303092</v>
      </c>
      <c r="F119" s="163">
        <v>18817642.983008299</v>
      </c>
      <c r="G119" s="163">
        <v>15464529.983008299</v>
      </c>
      <c r="H119" s="163">
        <v>3353113</v>
      </c>
      <c r="I119" s="163">
        <v>24250736.857304301</v>
      </c>
      <c r="J119" s="163">
        <v>8696579.2771984506</v>
      </c>
      <c r="K119" s="163">
        <v>15554157.58010585</v>
      </c>
      <c r="L119" s="163">
        <v>12234712.5233368</v>
      </c>
      <c r="M119" s="163">
        <v>2074769</v>
      </c>
      <c r="N119" s="163">
        <v>228935</v>
      </c>
      <c r="O119" s="163">
        <v>584643</v>
      </c>
      <c r="P119" s="163">
        <v>9346366</v>
      </c>
      <c r="Q119" s="163">
        <v>5274535</v>
      </c>
      <c r="R119" s="163">
        <v>4199287</v>
      </c>
      <c r="S119" s="163">
        <v>23206853</v>
      </c>
      <c r="T119" s="163">
        <v>7520</v>
      </c>
      <c r="U119" s="163">
        <v>2443000</v>
      </c>
      <c r="V119" s="163">
        <v>7177</v>
      </c>
      <c r="W119" s="163">
        <v>7028</v>
      </c>
      <c r="X119" s="163">
        <v>3614</v>
      </c>
      <c r="Y119" s="163">
        <v>2261</v>
      </c>
      <c r="Z119" s="163">
        <v>112</v>
      </c>
      <c r="AA119" s="163">
        <v>237</v>
      </c>
      <c r="AB119" s="163">
        <v>15160</v>
      </c>
      <c r="AC119" s="163">
        <v>9505</v>
      </c>
      <c r="AD119" s="163">
        <v>1312</v>
      </c>
      <c r="AE119" s="163">
        <v>0</v>
      </c>
      <c r="AF119" s="163">
        <v>1784</v>
      </c>
      <c r="AG119" s="163">
        <v>277</v>
      </c>
      <c r="AH119" s="163">
        <v>236524000</v>
      </c>
      <c r="AI119" s="163">
        <v>233071000</v>
      </c>
    </row>
    <row r="120" spans="1:35" x14ac:dyDescent="0.2">
      <c r="A120" t="s">
        <v>629</v>
      </c>
      <c r="B120" t="s">
        <v>442</v>
      </c>
      <c r="C120" s="163">
        <v>17421577.953433774</v>
      </c>
      <c r="D120" s="163">
        <v>9630870.9534337744</v>
      </c>
      <c r="E120" s="163">
        <v>6610712</v>
      </c>
      <c r="F120" s="163">
        <v>2704267.9140123199</v>
      </c>
      <c r="G120" s="163">
        <v>2141225.9140123199</v>
      </c>
      <c r="H120" s="163">
        <v>563042</v>
      </c>
      <c r="I120" s="163">
        <v>1635149.54679711</v>
      </c>
      <c r="J120" s="163">
        <v>1635149.54679711</v>
      </c>
      <c r="K120" s="163">
        <v>0</v>
      </c>
      <c r="L120" s="163">
        <v>1951565.1851884499</v>
      </c>
      <c r="M120" s="163">
        <v>61677</v>
      </c>
      <c r="N120" s="163">
        <v>16751</v>
      </c>
      <c r="O120" s="163">
        <v>69215</v>
      </c>
      <c r="P120" s="163">
        <v>1803922</v>
      </c>
      <c r="Q120" s="163">
        <v>1066793</v>
      </c>
      <c r="R120" s="163">
        <v>113202</v>
      </c>
      <c r="S120" s="163">
        <v>1964696</v>
      </c>
      <c r="T120" s="163">
        <v>233</v>
      </c>
      <c r="U120" s="163">
        <v>215000</v>
      </c>
      <c r="V120" s="163">
        <v>1735</v>
      </c>
      <c r="W120" s="163">
        <v>693</v>
      </c>
      <c r="X120" s="163">
        <v>10</v>
      </c>
      <c r="Y120" s="163">
        <v>0</v>
      </c>
      <c r="Z120" s="163">
        <v>0</v>
      </c>
      <c r="AA120" s="163">
        <v>104</v>
      </c>
      <c r="AB120" s="163">
        <v>1285</v>
      </c>
      <c r="AC120" s="163">
        <v>899</v>
      </c>
      <c r="AD120" s="163">
        <v>192</v>
      </c>
      <c r="AE120" s="163">
        <v>61</v>
      </c>
      <c r="AF120" s="163">
        <v>237</v>
      </c>
      <c r="AG120" s="163">
        <v>45</v>
      </c>
      <c r="AH120" s="163">
        <v>28576000</v>
      </c>
      <c r="AI120" s="163">
        <v>28519000</v>
      </c>
    </row>
    <row r="121" spans="1:35" x14ac:dyDescent="0.2">
      <c r="A121" t="s">
        <v>637</v>
      </c>
      <c r="B121" t="s">
        <v>162</v>
      </c>
      <c r="C121" s="163">
        <v>465504985.28964907</v>
      </c>
      <c r="D121" s="163">
        <v>246782571.28964907</v>
      </c>
      <c r="E121" s="163">
        <v>179964962</v>
      </c>
      <c r="F121" s="163">
        <v>47486191.467942499</v>
      </c>
      <c r="G121" s="163">
        <v>37183096.467942499</v>
      </c>
      <c r="H121" s="163">
        <v>10303095</v>
      </c>
      <c r="I121" s="163">
        <v>87618141.620895699</v>
      </c>
      <c r="J121" s="163">
        <v>22423686.068593368</v>
      </c>
      <c r="K121" s="163">
        <v>65194455.552302331</v>
      </c>
      <c r="L121" s="163">
        <v>44860628.853955999</v>
      </c>
      <c r="M121" s="163">
        <v>15671231</v>
      </c>
      <c r="N121" s="163">
        <v>735664</v>
      </c>
      <c r="O121" s="163">
        <v>1150141</v>
      </c>
      <c r="P121" s="163">
        <v>27303592</v>
      </c>
      <c r="Q121" s="163">
        <v>12113831</v>
      </c>
      <c r="R121" s="163">
        <v>26643621</v>
      </c>
      <c r="S121" s="163">
        <v>140279449</v>
      </c>
      <c r="T121" s="163">
        <v>181226</v>
      </c>
      <c r="U121" s="163">
        <v>2563000</v>
      </c>
      <c r="V121" s="163">
        <v>27440</v>
      </c>
      <c r="W121" s="163">
        <v>38284</v>
      </c>
      <c r="X121" s="163">
        <v>14503</v>
      </c>
      <c r="Y121" s="163">
        <v>652</v>
      </c>
      <c r="Z121" s="163">
        <v>1317</v>
      </c>
      <c r="AA121" s="163">
        <v>975</v>
      </c>
      <c r="AB121" s="163">
        <v>16129</v>
      </c>
      <c r="AC121" s="163">
        <v>25739</v>
      </c>
      <c r="AD121" s="163">
        <v>3461</v>
      </c>
      <c r="AE121" s="163">
        <v>1326</v>
      </c>
      <c r="AF121" s="163">
        <v>7139</v>
      </c>
      <c r="AG121" s="163">
        <v>1094</v>
      </c>
      <c r="AH121" s="163">
        <v>898633000</v>
      </c>
      <c r="AI121" s="163">
        <v>919177000</v>
      </c>
    </row>
    <row r="122" spans="1:35" x14ac:dyDescent="0.2">
      <c r="A122" t="s">
        <v>637</v>
      </c>
      <c r="B122" t="s">
        <v>163</v>
      </c>
      <c r="C122" s="163">
        <v>19323657.96506121</v>
      </c>
      <c r="D122" s="163">
        <v>11263060.96506121</v>
      </c>
      <c r="E122" s="163">
        <v>6975730</v>
      </c>
      <c r="F122" s="163">
        <v>3203005.4456314901</v>
      </c>
      <c r="G122" s="163">
        <v>2631313.4456314901</v>
      </c>
      <c r="H122" s="163">
        <v>571692</v>
      </c>
      <c r="I122" s="163">
        <v>1657365.72857317</v>
      </c>
      <c r="J122" s="163">
        <v>1657365.72857317</v>
      </c>
      <c r="K122" s="163">
        <v>0</v>
      </c>
      <c r="L122" s="163">
        <v>2115358.7032643198</v>
      </c>
      <c r="M122" s="163">
        <v>184999</v>
      </c>
      <c r="N122" s="163">
        <v>19543</v>
      </c>
      <c r="O122" s="163">
        <v>39762</v>
      </c>
      <c r="P122" s="163">
        <v>1871054</v>
      </c>
      <c r="Q122" s="163">
        <v>930457</v>
      </c>
      <c r="R122" s="163">
        <v>154410</v>
      </c>
      <c r="S122" s="163">
        <v>2241476</v>
      </c>
      <c r="T122" s="163">
        <v>834</v>
      </c>
      <c r="U122" s="163">
        <v>51000</v>
      </c>
      <c r="V122" s="163">
        <v>1241</v>
      </c>
      <c r="W122" s="163">
        <v>660</v>
      </c>
      <c r="X122" s="163">
        <v>0</v>
      </c>
      <c r="Y122" s="163">
        <v>0</v>
      </c>
      <c r="Z122" s="163">
        <v>0</v>
      </c>
      <c r="AA122" s="163">
        <v>0</v>
      </c>
      <c r="AB122" s="163">
        <v>1250</v>
      </c>
      <c r="AC122" s="163">
        <v>1288</v>
      </c>
      <c r="AD122" s="163">
        <v>205</v>
      </c>
      <c r="AE122" s="163">
        <v>100</v>
      </c>
      <c r="AF122" s="163">
        <v>170</v>
      </c>
      <c r="AG122" s="163">
        <v>3</v>
      </c>
      <c r="AH122" s="163">
        <v>28749000</v>
      </c>
      <c r="AI122" s="163">
        <v>28848000</v>
      </c>
    </row>
    <row r="123" spans="1:35" x14ac:dyDescent="0.2">
      <c r="A123" t="s">
        <v>638</v>
      </c>
      <c r="B123" t="s">
        <v>485</v>
      </c>
      <c r="C123" s="163">
        <v>19749292.375448354</v>
      </c>
      <c r="D123" s="163">
        <v>11993393.375448354</v>
      </c>
      <c r="E123" s="163">
        <v>6375759</v>
      </c>
      <c r="F123" s="163">
        <v>1779089.5004960899</v>
      </c>
      <c r="G123" s="163">
        <v>1693981.5004960899</v>
      </c>
      <c r="H123" s="163">
        <v>85108</v>
      </c>
      <c r="I123" s="163">
        <v>2199692.87080169</v>
      </c>
      <c r="J123" s="163">
        <v>2199692.87080169</v>
      </c>
      <c r="K123" s="163">
        <v>0</v>
      </c>
      <c r="L123" s="163">
        <v>2396976.3599625998</v>
      </c>
      <c r="M123" s="163">
        <v>114503</v>
      </c>
      <c r="N123" s="163">
        <v>12564</v>
      </c>
      <c r="O123" s="163">
        <v>20617</v>
      </c>
      <c r="P123" s="163">
        <v>2249293</v>
      </c>
      <c r="Q123" s="163">
        <v>1267558</v>
      </c>
      <c r="R123" s="163">
        <v>112582</v>
      </c>
      <c r="S123" s="163">
        <v>2256405</v>
      </c>
      <c r="T123" s="163">
        <v>1868</v>
      </c>
      <c r="U123" s="163">
        <v>0</v>
      </c>
      <c r="V123" s="163">
        <v>2370</v>
      </c>
      <c r="W123" s="163">
        <v>1253</v>
      </c>
      <c r="X123" s="163">
        <v>356</v>
      </c>
      <c r="Y123" s="163">
        <v>0</v>
      </c>
      <c r="Z123" s="163">
        <v>818</v>
      </c>
      <c r="AA123" s="163">
        <v>108</v>
      </c>
      <c r="AB123" s="163">
        <v>1964</v>
      </c>
      <c r="AC123" s="163">
        <v>1310</v>
      </c>
      <c r="AD123" s="163">
        <v>255</v>
      </c>
      <c r="AE123" s="163">
        <v>10</v>
      </c>
      <c r="AF123" s="163">
        <v>184</v>
      </c>
      <c r="AG123" s="163">
        <v>49</v>
      </c>
      <c r="AH123" s="163">
        <v>31625000</v>
      </c>
      <c r="AI123" s="163">
        <v>33387000</v>
      </c>
    </row>
    <row r="124" spans="1:35" x14ac:dyDescent="0.2">
      <c r="A124" t="s">
        <v>634</v>
      </c>
      <c r="B124" t="s">
        <v>205</v>
      </c>
      <c r="C124" s="163">
        <v>32380450.821721166</v>
      </c>
      <c r="D124" s="163">
        <v>20521054.821721166</v>
      </c>
      <c r="E124" s="163">
        <v>9746175</v>
      </c>
      <c r="F124" s="163">
        <v>3873776.9511606302</v>
      </c>
      <c r="G124" s="163">
        <v>3631192.9511606302</v>
      </c>
      <c r="H124" s="163">
        <v>242584</v>
      </c>
      <c r="I124" s="163">
        <v>3067693.6398648298</v>
      </c>
      <c r="J124" s="163">
        <v>3067693.6398648298</v>
      </c>
      <c r="K124" s="163">
        <v>0</v>
      </c>
      <c r="L124" s="163">
        <v>2804704.0753957801</v>
      </c>
      <c r="M124" s="163">
        <v>370779</v>
      </c>
      <c r="N124" s="163">
        <v>29315</v>
      </c>
      <c r="O124" s="163">
        <v>79523</v>
      </c>
      <c r="P124" s="163">
        <v>2325087</v>
      </c>
      <c r="Q124" s="163">
        <v>1911871</v>
      </c>
      <c r="R124" s="163">
        <v>201350</v>
      </c>
      <c r="S124" s="163">
        <v>5222498</v>
      </c>
      <c r="T124" s="163">
        <v>11357</v>
      </c>
      <c r="U124" s="163">
        <v>50000</v>
      </c>
      <c r="V124" s="163">
        <v>3055</v>
      </c>
      <c r="W124" s="163">
        <v>1843</v>
      </c>
      <c r="X124" s="163">
        <v>1</v>
      </c>
      <c r="Y124" s="163">
        <v>0</v>
      </c>
      <c r="Z124" s="163">
        <v>94</v>
      </c>
      <c r="AA124" s="163">
        <v>443</v>
      </c>
      <c r="AB124" s="163">
        <v>3788</v>
      </c>
      <c r="AC124" s="163">
        <v>1666</v>
      </c>
      <c r="AD124" s="163">
        <v>402</v>
      </c>
      <c r="AE124" s="163">
        <v>32</v>
      </c>
      <c r="AF124" s="163">
        <v>586</v>
      </c>
      <c r="AG124" s="163">
        <v>22</v>
      </c>
      <c r="AH124" s="163">
        <v>52719000</v>
      </c>
      <c r="AI124" s="163">
        <v>52536000</v>
      </c>
    </row>
    <row r="125" spans="1:35" x14ac:dyDescent="0.2">
      <c r="A125" t="s">
        <v>629</v>
      </c>
      <c r="B125" t="s">
        <v>443</v>
      </c>
      <c r="C125" s="163">
        <v>16083412.365206636</v>
      </c>
      <c r="D125" s="163">
        <v>9338203.3652066365</v>
      </c>
      <c r="E125" s="163">
        <v>5595659</v>
      </c>
      <c r="F125" s="163">
        <v>1970629.2440634</v>
      </c>
      <c r="G125" s="163">
        <v>1777345.2440634</v>
      </c>
      <c r="H125" s="163">
        <v>193284</v>
      </c>
      <c r="I125" s="163">
        <v>1748184.9149709099</v>
      </c>
      <c r="J125" s="163">
        <v>1748184.9149709099</v>
      </c>
      <c r="K125" s="163">
        <v>0</v>
      </c>
      <c r="L125" s="163">
        <v>1876844.9051049501</v>
      </c>
      <c r="M125" s="163">
        <v>34010</v>
      </c>
      <c r="N125" s="163">
        <v>8376</v>
      </c>
      <c r="O125" s="163">
        <v>26508</v>
      </c>
      <c r="P125" s="163">
        <v>1807951</v>
      </c>
      <c r="Q125" s="163">
        <v>1092993</v>
      </c>
      <c r="R125" s="163">
        <v>56557</v>
      </c>
      <c r="S125" s="163">
        <v>1253665</v>
      </c>
      <c r="T125" s="163">
        <v>431</v>
      </c>
      <c r="U125" s="163">
        <v>0</v>
      </c>
      <c r="V125" s="163">
        <v>2396</v>
      </c>
      <c r="W125" s="163">
        <v>890</v>
      </c>
      <c r="X125" s="163">
        <v>0</v>
      </c>
      <c r="Y125" s="163">
        <v>1</v>
      </c>
      <c r="Z125" s="163">
        <v>130</v>
      </c>
      <c r="AA125" s="163">
        <v>20</v>
      </c>
      <c r="AB125" s="163">
        <v>1468</v>
      </c>
      <c r="AC125" s="163">
        <v>810</v>
      </c>
      <c r="AD125" s="163">
        <v>253</v>
      </c>
      <c r="AE125" s="163">
        <v>0</v>
      </c>
      <c r="AF125" s="163">
        <v>631</v>
      </c>
      <c r="AG125" s="163">
        <v>11</v>
      </c>
      <c r="AH125" s="163">
        <v>31952000</v>
      </c>
      <c r="AI125" s="163">
        <v>31918000</v>
      </c>
    </row>
    <row r="126" spans="1:35" x14ac:dyDescent="0.2">
      <c r="A126" t="s">
        <v>630</v>
      </c>
      <c r="B126" t="s">
        <v>315</v>
      </c>
      <c r="C126" s="163">
        <v>294820747.54941797</v>
      </c>
      <c r="D126" s="163">
        <v>162156057.54941797</v>
      </c>
      <c r="E126" s="163">
        <v>107112196</v>
      </c>
      <c r="F126" s="163">
        <v>29672113.843702398</v>
      </c>
      <c r="G126" s="163">
        <v>26380730.843702398</v>
      </c>
      <c r="H126" s="163">
        <v>3291383</v>
      </c>
      <c r="I126" s="163">
        <v>57367639.7947862</v>
      </c>
      <c r="J126" s="163">
        <v>16648479.739564143</v>
      </c>
      <c r="K126" s="163">
        <v>40719160.055222057</v>
      </c>
      <c r="L126" s="163">
        <v>20072441.915492699</v>
      </c>
      <c r="M126" s="163">
        <v>3506105</v>
      </c>
      <c r="N126" s="163">
        <v>415992</v>
      </c>
      <c r="O126" s="163">
        <v>656803</v>
      </c>
      <c r="P126" s="163">
        <v>15493542</v>
      </c>
      <c r="Q126" s="163">
        <v>10655172</v>
      </c>
      <c r="R126" s="163">
        <v>14897322</v>
      </c>
      <c r="S126" s="163">
        <v>51548311</v>
      </c>
      <c r="T126" s="163">
        <v>54957</v>
      </c>
      <c r="U126" s="163">
        <v>4928000</v>
      </c>
      <c r="V126" s="163">
        <v>20898</v>
      </c>
      <c r="W126" s="163">
        <v>18350</v>
      </c>
      <c r="X126" s="163">
        <v>19777</v>
      </c>
      <c r="Y126" s="163">
        <v>6058</v>
      </c>
      <c r="Z126" s="163">
        <v>1200</v>
      </c>
      <c r="AA126" s="163">
        <v>1504</v>
      </c>
      <c r="AB126" s="163">
        <v>12206</v>
      </c>
      <c r="AC126" s="163">
        <v>20387</v>
      </c>
      <c r="AD126" s="163">
        <v>3410</v>
      </c>
      <c r="AE126" s="163">
        <v>929</v>
      </c>
      <c r="AF126" s="163">
        <v>3911</v>
      </c>
      <c r="AG126" s="163">
        <v>1379</v>
      </c>
      <c r="AH126" s="163">
        <v>493619000</v>
      </c>
      <c r="AI126" s="163">
        <v>493120000</v>
      </c>
    </row>
    <row r="127" spans="1:35" x14ac:dyDescent="0.2">
      <c r="A127" t="s">
        <v>630</v>
      </c>
      <c r="B127" t="s">
        <v>521</v>
      </c>
      <c r="C127" s="163">
        <v>6531509.2740153968</v>
      </c>
      <c r="D127" s="163">
        <v>4665502.2740153968</v>
      </c>
      <c r="E127" s="163">
        <v>1499922</v>
      </c>
      <c r="F127" s="163">
        <v>833682.26236796204</v>
      </c>
      <c r="G127" s="163">
        <v>644439.26236796204</v>
      </c>
      <c r="H127" s="163">
        <v>189243</v>
      </c>
      <c r="I127" s="163">
        <v>497385.42901005101</v>
      </c>
      <c r="J127" s="163">
        <v>497385.42901005101</v>
      </c>
      <c r="K127" s="163">
        <v>0</v>
      </c>
      <c r="L127" s="163">
        <v>168853.867052574</v>
      </c>
      <c r="M127" s="163">
        <v>14676</v>
      </c>
      <c r="N127" s="163">
        <v>6980</v>
      </c>
      <c r="O127" s="163">
        <v>7363</v>
      </c>
      <c r="P127" s="163">
        <v>139835</v>
      </c>
      <c r="Q127" s="163">
        <v>312972</v>
      </c>
      <c r="R127" s="163">
        <v>53113</v>
      </c>
      <c r="S127" s="163">
        <v>850950</v>
      </c>
      <c r="T127" s="163">
        <v>0</v>
      </c>
      <c r="U127" s="163">
        <v>58000</v>
      </c>
      <c r="V127" s="163">
        <v>912</v>
      </c>
      <c r="W127" s="163">
        <v>505</v>
      </c>
      <c r="X127" s="163">
        <v>0</v>
      </c>
      <c r="Y127" s="163">
        <v>169</v>
      </c>
      <c r="Z127" s="163">
        <v>77</v>
      </c>
      <c r="AA127" s="163">
        <v>81</v>
      </c>
      <c r="AB127" s="163">
        <v>830</v>
      </c>
      <c r="AC127" s="163">
        <v>807</v>
      </c>
      <c r="AD127" s="163">
        <v>88</v>
      </c>
      <c r="AE127" s="163">
        <v>0</v>
      </c>
      <c r="AF127" s="163">
        <v>440</v>
      </c>
      <c r="AG127" s="163">
        <v>0</v>
      </c>
      <c r="AH127" s="163">
        <v>10806000</v>
      </c>
      <c r="AI127" s="163">
        <v>11807000</v>
      </c>
    </row>
    <row r="128" spans="1:35" x14ac:dyDescent="0.2">
      <c r="A128" t="s">
        <v>630</v>
      </c>
      <c r="B128" t="s">
        <v>316</v>
      </c>
      <c r="C128" s="163">
        <v>161587423.37139177</v>
      </c>
      <c r="D128" s="163">
        <v>106926971.37139177</v>
      </c>
      <c r="E128" s="163">
        <v>44985306</v>
      </c>
      <c r="F128" s="163">
        <v>24759237.380886901</v>
      </c>
      <c r="G128" s="163">
        <v>21856464.380886901</v>
      </c>
      <c r="H128" s="163">
        <v>2902773</v>
      </c>
      <c r="I128" s="163">
        <v>13961818.2875062</v>
      </c>
      <c r="J128" s="163">
        <v>13961818.2875062</v>
      </c>
      <c r="K128" s="163">
        <v>0</v>
      </c>
      <c r="L128" s="163">
        <v>6264250.3258177601</v>
      </c>
      <c r="M128" s="163">
        <v>391847</v>
      </c>
      <c r="N128" s="163">
        <v>228935</v>
      </c>
      <c r="O128" s="163">
        <v>335765</v>
      </c>
      <c r="P128" s="163">
        <v>5307703</v>
      </c>
      <c r="Q128" s="163">
        <v>7875391</v>
      </c>
      <c r="R128" s="163">
        <v>1799755</v>
      </c>
      <c r="S128" s="163">
        <v>26358736</v>
      </c>
      <c r="T128" s="163">
        <v>37846</v>
      </c>
      <c r="U128" s="163">
        <v>694000</v>
      </c>
      <c r="V128" s="163">
        <v>16625</v>
      </c>
      <c r="W128" s="163">
        <v>47306</v>
      </c>
      <c r="X128" s="163">
        <v>3420</v>
      </c>
      <c r="Y128" s="163">
        <v>5654</v>
      </c>
      <c r="Z128" s="163">
        <v>9830</v>
      </c>
      <c r="AA128" s="163">
        <v>691</v>
      </c>
      <c r="AB128" s="163">
        <v>8911</v>
      </c>
      <c r="AC128" s="163">
        <v>15576</v>
      </c>
      <c r="AD128" s="163">
        <v>3888</v>
      </c>
      <c r="AE128" s="163">
        <v>837</v>
      </c>
      <c r="AF128" s="163">
        <v>6549</v>
      </c>
      <c r="AG128" s="163">
        <v>629</v>
      </c>
      <c r="AH128" s="163">
        <v>360539000</v>
      </c>
      <c r="AI128" s="163">
        <v>376846000</v>
      </c>
    </row>
    <row r="129" spans="1:35" x14ac:dyDescent="0.2">
      <c r="A129" t="s">
        <v>629</v>
      </c>
      <c r="B129" t="s">
        <v>444</v>
      </c>
      <c r="C129" s="163">
        <v>40799487.416739814</v>
      </c>
      <c r="D129" s="163">
        <v>23051823.416739814</v>
      </c>
      <c r="E129" s="163">
        <v>14953881</v>
      </c>
      <c r="F129" s="163">
        <v>5056851.4570636097</v>
      </c>
      <c r="G129" s="163">
        <v>4008852.4570636097</v>
      </c>
      <c r="H129" s="163">
        <v>1047999</v>
      </c>
      <c r="I129" s="163">
        <v>4503954.5792667102</v>
      </c>
      <c r="J129" s="163">
        <v>4503954.5792667102</v>
      </c>
      <c r="K129" s="163">
        <v>0</v>
      </c>
      <c r="L129" s="163">
        <v>5393074.9623794099</v>
      </c>
      <c r="M129" s="163">
        <v>387068</v>
      </c>
      <c r="N129" s="163">
        <v>51650</v>
      </c>
      <c r="O129" s="163">
        <v>132539</v>
      </c>
      <c r="P129" s="163">
        <v>4821819</v>
      </c>
      <c r="Q129" s="163">
        <v>2562649</v>
      </c>
      <c r="R129" s="163">
        <v>231134</v>
      </c>
      <c r="S129" s="163">
        <v>6687535</v>
      </c>
      <c r="T129" s="163">
        <v>1577</v>
      </c>
      <c r="U129" s="163">
        <v>411000</v>
      </c>
      <c r="V129" s="163">
        <v>3404</v>
      </c>
      <c r="W129" s="163">
        <v>2760</v>
      </c>
      <c r="X129" s="163">
        <v>11</v>
      </c>
      <c r="Y129" s="163">
        <v>0</v>
      </c>
      <c r="Z129" s="163">
        <v>522</v>
      </c>
      <c r="AA129" s="163">
        <v>0</v>
      </c>
      <c r="AB129" s="163">
        <v>2795</v>
      </c>
      <c r="AC129" s="163">
        <v>3142</v>
      </c>
      <c r="AD129" s="163">
        <v>595</v>
      </c>
      <c r="AE129" s="163">
        <v>43</v>
      </c>
      <c r="AF129" s="163">
        <v>774</v>
      </c>
      <c r="AG129" s="163">
        <v>77</v>
      </c>
      <c r="AH129" s="163">
        <v>69541000</v>
      </c>
      <c r="AI129" s="163">
        <v>67842000</v>
      </c>
    </row>
    <row r="130" spans="1:35" x14ac:dyDescent="0.2">
      <c r="A130" t="s">
        <v>634</v>
      </c>
      <c r="B130" t="s">
        <v>206</v>
      </c>
      <c r="C130" s="163">
        <v>87686370.815016478</v>
      </c>
      <c r="D130" s="163">
        <v>50005247.815016478</v>
      </c>
      <c r="E130" s="163">
        <v>32770894</v>
      </c>
      <c r="F130" s="163">
        <v>14829939.960431701</v>
      </c>
      <c r="G130" s="163">
        <v>12079646.960431701</v>
      </c>
      <c r="H130" s="163">
        <v>2750293</v>
      </c>
      <c r="I130" s="163">
        <v>7909808.2446613703</v>
      </c>
      <c r="J130" s="163">
        <v>7909808.2446613703</v>
      </c>
      <c r="K130" s="163">
        <v>0</v>
      </c>
      <c r="L130" s="163">
        <v>10031145.412448499</v>
      </c>
      <c r="M130" s="163">
        <v>929311</v>
      </c>
      <c r="N130" s="163">
        <v>127031</v>
      </c>
      <c r="O130" s="163">
        <v>259187</v>
      </c>
      <c r="P130" s="163">
        <v>8715616</v>
      </c>
      <c r="Q130" s="163">
        <v>4288144</v>
      </c>
      <c r="R130" s="163">
        <v>622085</v>
      </c>
      <c r="S130" s="163">
        <v>13601297</v>
      </c>
      <c r="T130" s="163">
        <v>37303</v>
      </c>
      <c r="U130" s="163">
        <v>105000</v>
      </c>
      <c r="V130" s="163">
        <v>6097</v>
      </c>
      <c r="W130" s="163">
        <v>6616</v>
      </c>
      <c r="X130" s="163">
        <v>1480</v>
      </c>
      <c r="Y130" s="163">
        <v>2</v>
      </c>
      <c r="Z130" s="163">
        <v>1067</v>
      </c>
      <c r="AA130" s="163">
        <v>899</v>
      </c>
      <c r="AB130" s="163">
        <v>6582</v>
      </c>
      <c r="AC130" s="163">
        <v>4794</v>
      </c>
      <c r="AD130" s="163">
        <v>996</v>
      </c>
      <c r="AE130" s="163">
        <v>561</v>
      </c>
      <c r="AF130" s="163">
        <v>1059</v>
      </c>
      <c r="AG130" s="163">
        <v>123</v>
      </c>
      <c r="AH130" s="163">
        <v>147084000</v>
      </c>
      <c r="AI130" s="163">
        <v>147945000</v>
      </c>
    </row>
    <row r="131" spans="1:35" x14ac:dyDescent="0.2">
      <c r="A131" t="s">
        <v>631</v>
      </c>
      <c r="B131" t="s">
        <v>242</v>
      </c>
      <c r="C131" s="163">
        <v>65298861.586639285</v>
      </c>
      <c r="D131" s="163">
        <v>39862443.586639285</v>
      </c>
      <c r="E131" s="163">
        <v>21615599</v>
      </c>
      <c r="F131" s="163">
        <v>10145271.6329912</v>
      </c>
      <c r="G131" s="163">
        <v>9305561.6329912003</v>
      </c>
      <c r="H131" s="163">
        <v>839710</v>
      </c>
      <c r="I131" s="163">
        <v>5874476.0264932001</v>
      </c>
      <c r="J131" s="163">
        <v>5874476.0264932001</v>
      </c>
      <c r="K131" s="163">
        <v>0</v>
      </c>
      <c r="L131" s="163">
        <v>5595851.4669549</v>
      </c>
      <c r="M131" s="163">
        <v>791471</v>
      </c>
      <c r="N131" s="163">
        <v>69797</v>
      </c>
      <c r="O131" s="163">
        <v>200281</v>
      </c>
      <c r="P131" s="163">
        <v>4534302</v>
      </c>
      <c r="Q131" s="163">
        <v>3316360</v>
      </c>
      <c r="R131" s="163">
        <v>504459</v>
      </c>
      <c r="S131" s="163">
        <v>12145021</v>
      </c>
      <c r="T131" s="163">
        <v>1069</v>
      </c>
      <c r="U131" s="163">
        <v>1064000</v>
      </c>
      <c r="V131" s="163">
        <v>5768</v>
      </c>
      <c r="W131" s="163">
        <v>4157</v>
      </c>
      <c r="X131" s="163">
        <v>2681</v>
      </c>
      <c r="Y131" s="163">
        <v>1887</v>
      </c>
      <c r="Z131" s="163">
        <v>195</v>
      </c>
      <c r="AA131" s="163">
        <v>467</v>
      </c>
      <c r="AB131" s="163">
        <v>3437</v>
      </c>
      <c r="AC131" s="163">
        <v>3258</v>
      </c>
      <c r="AD131" s="163">
        <v>825</v>
      </c>
      <c r="AE131" s="163">
        <v>821</v>
      </c>
      <c r="AF131" s="163">
        <v>784</v>
      </c>
      <c r="AG131" s="163">
        <v>348</v>
      </c>
      <c r="AH131" s="163">
        <v>112642000</v>
      </c>
      <c r="AI131" s="163">
        <v>119700000</v>
      </c>
    </row>
    <row r="132" spans="1:35" x14ac:dyDescent="0.2">
      <c r="A132" t="s">
        <v>633</v>
      </c>
      <c r="B132" t="s">
        <v>361</v>
      </c>
      <c r="C132" s="163">
        <v>21084363.222014189</v>
      </c>
      <c r="D132" s="163">
        <v>13434094.222014189</v>
      </c>
      <c r="E132" s="163">
        <v>6293786</v>
      </c>
      <c r="F132" s="163">
        <v>3227092.0042016199</v>
      </c>
      <c r="G132" s="163">
        <v>2664657.0042016199</v>
      </c>
      <c r="H132" s="163">
        <v>562435</v>
      </c>
      <c r="I132" s="163">
        <v>1992780.1918262099</v>
      </c>
      <c r="J132" s="163">
        <v>1992780.1918262099</v>
      </c>
      <c r="K132" s="163">
        <v>0</v>
      </c>
      <c r="L132" s="163">
        <v>1073913.81764852</v>
      </c>
      <c r="M132" s="163">
        <v>43321</v>
      </c>
      <c r="N132" s="163">
        <v>29315</v>
      </c>
      <c r="O132" s="163">
        <v>61851</v>
      </c>
      <c r="P132" s="163">
        <v>939426</v>
      </c>
      <c r="Q132" s="163">
        <v>1214641</v>
      </c>
      <c r="R132" s="163">
        <v>141842</v>
      </c>
      <c r="S132" s="163">
        <v>1905298</v>
      </c>
      <c r="T132" s="163">
        <v>13</v>
      </c>
      <c r="U132" s="163">
        <v>141000</v>
      </c>
      <c r="V132" s="163">
        <v>2060</v>
      </c>
      <c r="W132" s="163">
        <v>1344</v>
      </c>
      <c r="X132" s="163">
        <v>0</v>
      </c>
      <c r="Y132" s="163">
        <v>101</v>
      </c>
      <c r="Z132" s="163">
        <v>0</v>
      </c>
      <c r="AA132" s="163">
        <v>80</v>
      </c>
      <c r="AB132" s="163">
        <v>1847</v>
      </c>
      <c r="AC132" s="163">
        <v>1655</v>
      </c>
      <c r="AD132" s="163">
        <v>293</v>
      </c>
      <c r="AE132" s="163">
        <v>382</v>
      </c>
      <c r="AF132" s="163">
        <v>412</v>
      </c>
      <c r="AG132" s="163">
        <v>61</v>
      </c>
      <c r="AH132" s="163">
        <v>38005000</v>
      </c>
      <c r="AI132" s="163">
        <v>39098000</v>
      </c>
    </row>
    <row r="133" spans="1:35" x14ac:dyDescent="0.2">
      <c r="A133" t="s">
        <v>637</v>
      </c>
      <c r="B133" t="s">
        <v>164</v>
      </c>
      <c r="C133" s="163">
        <v>25406370.626982972</v>
      </c>
      <c r="D133" s="163">
        <v>18198065.626982972</v>
      </c>
      <c r="E133" s="163">
        <v>5563045</v>
      </c>
      <c r="F133" s="163">
        <v>2287574.1472268002</v>
      </c>
      <c r="G133" s="163">
        <v>1873659.1472268002</v>
      </c>
      <c r="H133" s="163">
        <v>413915</v>
      </c>
      <c r="I133" s="163">
        <v>2360758.86600482</v>
      </c>
      <c r="J133" s="163">
        <v>2360758.86600482</v>
      </c>
      <c r="K133" s="163">
        <v>0</v>
      </c>
      <c r="L133" s="163">
        <v>914711.55065945699</v>
      </c>
      <c r="M133" s="163">
        <v>235167</v>
      </c>
      <c r="N133" s="163">
        <v>19543</v>
      </c>
      <c r="O133" s="163">
        <v>30926</v>
      </c>
      <c r="P133" s="163">
        <v>629075</v>
      </c>
      <c r="Q133" s="163">
        <v>1520691</v>
      </c>
      <c r="R133" s="163">
        <v>124569</v>
      </c>
      <c r="S133" s="163">
        <v>3659837</v>
      </c>
      <c r="T133" s="163">
        <v>7235</v>
      </c>
      <c r="U133" s="163">
        <v>0</v>
      </c>
      <c r="V133" s="163">
        <v>4092</v>
      </c>
      <c r="W133" s="163">
        <v>1216</v>
      </c>
      <c r="X133" s="163">
        <v>518</v>
      </c>
      <c r="Y133" s="163">
        <v>0</v>
      </c>
      <c r="Z133" s="163">
        <v>117</v>
      </c>
      <c r="AA133" s="163">
        <v>42</v>
      </c>
      <c r="AB133" s="163">
        <v>2603</v>
      </c>
      <c r="AC133" s="163">
        <v>1759</v>
      </c>
      <c r="AD133" s="163">
        <v>376</v>
      </c>
      <c r="AE133" s="163">
        <v>248</v>
      </c>
      <c r="AF133" s="163">
        <v>935</v>
      </c>
      <c r="AG133" s="163">
        <v>23</v>
      </c>
      <c r="AH133" s="163">
        <v>52857000</v>
      </c>
      <c r="AI133" s="163">
        <v>50303000</v>
      </c>
    </row>
    <row r="134" spans="1:35" x14ac:dyDescent="0.2">
      <c r="A134" t="s">
        <v>632</v>
      </c>
      <c r="B134" t="s">
        <v>185</v>
      </c>
      <c r="C134" s="163">
        <v>28273803.30681283</v>
      </c>
      <c r="D134" s="163">
        <v>16922499.30681283</v>
      </c>
      <c r="E134" s="163">
        <v>9527667</v>
      </c>
      <c r="F134" s="163">
        <v>3961976.5445389198</v>
      </c>
      <c r="G134" s="163">
        <v>3527475.5445389198</v>
      </c>
      <c r="H134" s="163">
        <v>434501</v>
      </c>
      <c r="I134" s="163">
        <v>2474965.9408003702</v>
      </c>
      <c r="J134" s="163">
        <v>2474965.9408003702</v>
      </c>
      <c r="K134" s="163">
        <v>0</v>
      </c>
      <c r="L134" s="163">
        <v>3090724.4766375902</v>
      </c>
      <c r="M134" s="163">
        <v>815511</v>
      </c>
      <c r="N134" s="163">
        <v>33503</v>
      </c>
      <c r="O134" s="163">
        <v>63324</v>
      </c>
      <c r="P134" s="163">
        <v>2178386</v>
      </c>
      <c r="Q134" s="163">
        <v>1573802</v>
      </c>
      <c r="R134" s="163">
        <v>249835</v>
      </c>
      <c r="S134" s="163">
        <v>7452581</v>
      </c>
      <c r="T134" s="163">
        <v>3999</v>
      </c>
      <c r="U134" s="163">
        <v>75000</v>
      </c>
      <c r="V134" s="163">
        <v>1522</v>
      </c>
      <c r="W134" s="163">
        <v>2022</v>
      </c>
      <c r="X134" s="163">
        <v>834</v>
      </c>
      <c r="Y134" s="163">
        <v>103</v>
      </c>
      <c r="Z134" s="163">
        <v>145</v>
      </c>
      <c r="AA134" s="163">
        <v>148</v>
      </c>
      <c r="AB134" s="163">
        <v>1527</v>
      </c>
      <c r="AC134" s="163">
        <v>1522</v>
      </c>
      <c r="AD134" s="163">
        <v>282</v>
      </c>
      <c r="AE134" s="163">
        <v>87</v>
      </c>
      <c r="AF134" s="163">
        <v>180</v>
      </c>
      <c r="AG134" s="163">
        <v>379</v>
      </c>
      <c r="AH134" s="163">
        <v>57570000</v>
      </c>
      <c r="AI134" s="163">
        <v>59652000</v>
      </c>
    </row>
    <row r="135" spans="1:35" x14ac:dyDescent="0.2">
      <c r="A135" t="s">
        <v>634</v>
      </c>
      <c r="B135" t="s">
        <v>243</v>
      </c>
      <c r="C135" s="163">
        <v>14078252.272264361</v>
      </c>
      <c r="D135" s="163">
        <v>8694052.2722643614</v>
      </c>
      <c r="E135" s="163">
        <v>4421901</v>
      </c>
      <c r="F135" s="163">
        <v>2040454.2806866099</v>
      </c>
      <c r="G135" s="163">
        <v>1776295.2806866099</v>
      </c>
      <c r="H135" s="163">
        <v>264159</v>
      </c>
      <c r="I135" s="163">
        <v>1382445.7286517799</v>
      </c>
      <c r="J135" s="163">
        <v>1382445.7286517799</v>
      </c>
      <c r="K135" s="163">
        <v>0</v>
      </c>
      <c r="L135" s="163">
        <v>999000.73697236401</v>
      </c>
      <c r="M135" s="163">
        <v>47612</v>
      </c>
      <c r="N135" s="163">
        <v>19543</v>
      </c>
      <c r="O135" s="163">
        <v>27980</v>
      </c>
      <c r="P135" s="163">
        <v>903865</v>
      </c>
      <c r="Q135" s="163">
        <v>855454</v>
      </c>
      <c r="R135" s="163">
        <v>106845</v>
      </c>
      <c r="S135" s="163">
        <v>1659465</v>
      </c>
      <c r="T135" s="163">
        <v>1261</v>
      </c>
      <c r="U135" s="163">
        <v>50000</v>
      </c>
      <c r="V135" s="163">
        <v>2044</v>
      </c>
      <c r="W135" s="163">
        <v>634</v>
      </c>
      <c r="X135" s="163">
        <v>0</v>
      </c>
      <c r="Y135" s="163">
        <v>546</v>
      </c>
      <c r="Z135" s="163">
        <v>178</v>
      </c>
      <c r="AA135" s="163">
        <v>84</v>
      </c>
      <c r="AB135" s="163">
        <v>1107</v>
      </c>
      <c r="AC135" s="163">
        <v>908</v>
      </c>
      <c r="AD135" s="163">
        <v>220</v>
      </c>
      <c r="AE135" s="163">
        <v>171</v>
      </c>
      <c r="AF135" s="163">
        <v>277</v>
      </c>
      <c r="AG135" s="163">
        <v>18</v>
      </c>
      <c r="AH135" s="163">
        <v>23391000</v>
      </c>
      <c r="AI135" s="163">
        <v>23945000</v>
      </c>
    </row>
    <row r="136" spans="1:35" x14ac:dyDescent="0.2">
      <c r="A136" t="s">
        <v>630</v>
      </c>
      <c r="B136" t="s">
        <v>317</v>
      </c>
      <c r="C136" s="163">
        <v>53486004.83775945</v>
      </c>
      <c r="D136" s="163">
        <v>33357221.83775945</v>
      </c>
      <c r="E136" s="163">
        <v>16432648</v>
      </c>
      <c r="F136" s="163">
        <v>6955890.4383862698</v>
      </c>
      <c r="G136" s="163">
        <v>6371987.4383862698</v>
      </c>
      <c r="H136" s="163">
        <v>583903</v>
      </c>
      <c r="I136" s="163">
        <v>4728433.6699789697</v>
      </c>
      <c r="J136" s="163">
        <v>4728433.6699789697</v>
      </c>
      <c r="K136" s="163">
        <v>0</v>
      </c>
      <c r="L136" s="163">
        <v>4748324.1096564997</v>
      </c>
      <c r="M136" s="163">
        <v>926884</v>
      </c>
      <c r="N136" s="163">
        <v>78173</v>
      </c>
      <c r="O136" s="163">
        <v>156101</v>
      </c>
      <c r="P136" s="163">
        <v>3587166</v>
      </c>
      <c r="Q136" s="163">
        <v>3237053</v>
      </c>
      <c r="R136" s="163">
        <v>459082</v>
      </c>
      <c r="S136" s="163">
        <v>11027170</v>
      </c>
      <c r="T136" s="163">
        <v>2017</v>
      </c>
      <c r="U136" s="163">
        <v>619000</v>
      </c>
      <c r="V136" s="163">
        <v>4367</v>
      </c>
      <c r="W136" s="163">
        <v>1304</v>
      </c>
      <c r="X136" s="163">
        <v>0</v>
      </c>
      <c r="Y136" s="163">
        <v>41</v>
      </c>
      <c r="Z136" s="163">
        <v>66</v>
      </c>
      <c r="AA136" s="163">
        <v>287</v>
      </c>
      <c r="AB136" s="163">
        <v>3130</v>
      </c>
      <c r="AC136" s="163">
        <v>5088</v>
      </c>
      <c r="AD136" s="163">
        <v>764</v>
      </c>
      <c r="AE136" s="163">
        <v>217</v>
      </c>
      <c r="AF136" s="163">
        <v>403</v>
      </c>
      <c r="AG136" s="163">
        <v>518</v>
      </c>
      <c r="AH136" s="163">
        <v>84202000</v>
      </c>
      <c r="AI136" s="163">
        <v>85735000</v>
      </c>
    </row>
    <row r="137" spans="1:35" x14ac:dyDescent="0.2">
      <c r="A137" t="s">
        <v>630</v>
      </c>
      <c r="B137" t="s">
        <v>318</v>
      </c>
      <c r="C137" s="163">
        <v>28448810.405279662</v>
      </c>
      <c r="D137" s="163">
        <v>18660663.405279662</v>
      </c>
      <c r="E137" s="163">
        <v>7636145</v>
      </c>
      <c r="F137" s="163">
        <v>2843114.7469127802</v>
      </c>
      <c r="G137" s="163">
        <v>2651714.7469127802</v>
      </c>
      <c r="H137" s="163">
        <v>191400</v>
      </c>
      <c r="I137" s="163">
        <v>3122325.11394567</v>
      </c>
      <c r="J137" s="163">
        <v>3122325.11394567</v>
      </c>
      <c r="K137" s="163">
        <v>0</v>
      </c>
      <c r="L137" s="163">
        <v>1670704.9340564799</v>
      </c>
      <c r="M137" s="163">
        <v>58592</v>
      </c>
      <c r="N137" s="163">
        <v>34899</v>
      </c>
      <c r="O137" s="163">
        <v>61851</v>
      </c>
      <c r="P137" s="163">
        <v>1515363</v>
      </c>
      <c r="Q137" s="163">
        <v>1991177</v>
      </c>
      <c r="R137" s="163">
        <v>160825</v>
      </c>
      <c r="S137" s="163">
        <v>3454470</v>
      </c>
      <c r="T137" s="163">
        <v>1519</v>
      </c>
      <c r="U137" s="163">
        <v>0</v>
      </c>
      <c r="V137" s="163">
        <v>4841</v>
      </c>
      <c r="W137" s="163">
        <v>1343</v>
      </c>
      <c r="X137" s="163">
        <v>723</v>
      </c>
      <c r="Y137" s="163">
        <v>208</v>
      </c>
      <c r="Z137" s="163">
        <v>0</v>
      </c>
      <c r="AA137" s="163">
        <v>130</v>
      </c>
      <c r="AB137" s="163">
        <v>2637</v>
      </c>
      <c r="AC137" s="163">
        <v>2614</v>
      </c>
      <c r="AD137" s="163">
        <v>559</v>
      </c>
      <c r="AE137" s="163">
        <v>581</v>
      </c>
      <c r="AF137" s="163">
        <v>622</v>
      </c>
      <c r="AG137" s="163">
        <v>55</v>
      </c>
      <c r="AH137" s="163">
        <v>51020000</v>
      </c>
      <c r="AI137" s="163">
        <v>51443000</v>
      </c>
    </row>
    <row r="138" spans="1:35" x14ac:dyDescent="0.2">
      <c r="A138" t="s">
        <v>631</v>
      </c>
      <c r="B138" t="s">
        <v>244</v>
      </c>
      <c r="C138" s="163">
        <v>25788020.788738444</v>
      </c>
      <c r="D138" s="163">
        <v>13982199.788738444</v>
      </c>
      <c r="E138" s="163">
        <v>10159818</v>
      </c>
      <c r="F138" s="163">
        <v>5278447.5834876699</v>
      </c>
      <c r="G138" s="163">
        <v>2709532.5834876699</v>
      </c>
      <c r="H138" s="163">
        <v>2568915</v>
      </c>
      <c r="I138" s="163">
        <v>2510352.36612903</v>
      </c>
      <c r="J138" s="163">
        <v>2510352.36612903</v>
      </c>
      <c r="K138" s="163">
        <v>0</v>
      </c>
      <c r="L138" s="163">
        <v>2371017.6180486698</v>
      </c>
      <c r="M138" s="163">
        <v>44518</v>
      </c>
      <c r="N138" s="163">
        <v>41878</v>
      </c>
      <c r="O138" s="163">
        <v>76578</v>
      </c>
      <c r="P138" s="163">
        <v>2208043</v>
      </c>
      <c r="Q138" s="163">
        <v>1486856</v>
      </c>
      <c r="R138" s="163">
        <v>159147</v>
      </c>
      <c r="S138" s="163">
        <v>2425827</v>
      </c>
      <c r="T138" s="163">
        <v>2251</v>
      </c>
      <c r="U138" s="163">
        <v>141000</v>
      </c>
      <c r="V138" s="163">
        <v>3020</v>
      </c>
      <c r="W138" s="163">
        <v>1086</v>
      </c>
      <c r="X138" s="163">
        <v>0</v>
      </c>
      <c r="Y138" s="163">
        <v>1144</v>
      </c>
      <c r="Z138" s="163">
        <v>190</v>
      </c>
      <c r="AA138" s="163">
        <v>4</v>
      </c>
      <c r="AB138" s="163">
        <v>1690</v>
      </c>
      <c r="AC138" s="163">
        <v>1641</v>
      </c>
      <c r="AD138" s="163">
        <v>296</v>
      </c>
      <c r="AE138" s="163">
        <v>428</v>
      </c>
      <c r="AF138" s="163">
        <v>403</v>
      </c>
      <c r="AG138" s="163">
        <v>127</v>
      </c>
      <c r="AH138" s="163">
        <v>37505000</v>
      </c>
      <c r="AI138" s="163">
        <v>37291000</v>
      </c>
    </row>
    <row r="139" spans="1:35" x14ac:dyDescent="0.2">
      <c r="A139" t="s">
        <v>632</v>
      </c>
      <c r="B139" t="s">
        <v>186</v>
      </c>
      <c r="C139" s="163">
        <v>80697877.223508626</v>
      </c>
      <c r="D139" s="163">
        <v>48099561.223508626</v>
      </c>
      <c r="E139" s="163">
        <v>27752119</v>
      </c>
      <c r="F139" s="163">
        <v>10704539.580090599</v>
      </c>
      <c r="G139" s="163">
        <v>9591266.5800905991</v>
      </c>
      <c r="H139" s="163">
        <v>1113273</v>
      </c>
      <c r="I139" s="163">
        <v>7119738.83027096</v>
      </c>
      <c r="J139" s="163">
        <v>7119738.83027096</v>
      </c>
      <c r="K139" s="163">
        <v>0</v>
      </c>
      <c r="L139" s="163">
        <v>9927840.3430156391</v>
      </c>
      <c r="M139" s="163">
        <v>1946171</v>
      </c>
      <c r="N139" s="163">
        <v>64214</v>
      </c>
      <c r="O139" s="163">
        <v>114867</v>
      </c>
      <c r="P139" s="163">
        <v>7802589</v>
      </c>
      <c r="Q139" s="163">
        <v>4272143</v>
      </c>
      <c r="R139" s="163">
        <v>574054</v>
      </c>
      <c r="S139" s="163">
        <v>18870498</v>
      </c>
      <c r="T139" s="163">
        <v>15817</v>
      </c>
      <c r="U139" s="163">
        <v>246000</v>
      </c>
      <c r="V139" s="163">
        <v>6901</v>
      </c>
      <c r="W139" s="163">
        <v>7195</v>
      </c>
      <c r="X139" s="163">
        <v>2306</v>
      </c>
      <c r="Y139" s="163">
        <v>3215</v>
      </c>
      <c r="Z139" s="163">
        <v>94</v>
      </c>
      <c r="AA139" s="163">
        <v>317</v>
      </c>
      <c r="AB139" s="163">
        <v>5248</v>
      </c>
      <c r="AC139" s="163">
        <v>5345</v>
      </c>
      <c r="AD139" s="163">
        <v>850</v>
      </c>
      <c r="AE139" s="163">
        <v>207</v>
      </c>
      <c r="AF139" s="163">
        <v>1077</v>
      </c>
      <c r="AG139" s="163">
        <v>374</v>
      </c>
      <c r="AH139" s="163">
        <v>200322000</v>
      </c>
      <c r="AI139" s="163">
        <v>193678000</v>
      </c>
    </row>
    <row r="140" spans="1:35" x14ac:dyDescent="0.2">
      <c r="A140" t="s">
        <v>630</v>
      </c>
      <c r="B140" t="s">
        <v>319</v>
      </c>
      <c r="C140" s="163">
        <v>77901358.602943927</v>
      </c>
      <c r="D140" s="163">
        <v>46274460.602943927</v>
      </c>
      <c r="E140" s="163">
        <v>27580287</v>
      </c>
      <c r="F140" s="163">
        <v>16120357.5034575</v>
      </c>
      <c r="G140" s="163">
        <v>12371258.5034575</v>
      </c>
      <c r="H140" s="163">
        <v>3749099</v>
      </c>
      <c r="I140" s="163">
        <v>6671541.5426140605</v>
      </c>
      <c r="J140" s="163">
        <v>6671541.5426140605</v>
      </c>
      <c r="K140" s="163">
        <v>0</v>
      </c>
      <c r="L140" s="163">
        <v>4788387.9766861899</v>
      </c>
      <c r="M140" s="163">
        <v>544122</v>
      </c>
      <c r="N140" s="163">
        <v>205204</v>
      </c>
      <c r="O140" s="163">
        <v>290112</v>
      </c>
      <c r="P140" s="163">
        <v>3748949</v>
      </c>
      <c r="Q140" s="163">
        <v>3521849</v>
      </c>
      <c r="R140" s="163">
        <v>524762</v>
      </c>
      <c r="S140" s="163">
        <v>12617360</v>
      </c>
      <c r="T140" s="163">
        <v>7848</v>
      </c>
      <c r="U140" s="163">
        <v>105000</v>
      </c>
      <c r="V140" s="163">
        <v>5615</v>
      </c>
      <c r="W140" s="163">
        <v>5409</v>
      </c>
      <c r="X140" s="163">
        <v>254</v>
      </c>
      <c r="Y140" s="163">
        <v>0</v>
      </c>
      <c r="Z140" s="163">
        <v>0</v>
      </c>
      <c r="AA140" s="163">
        <v>0</v>
      </c>
      <c r="AB140" s="163">
        <v>4684</v>
      </c>
      <c r="AC140" s="163">
        <v>5217</v>
      </c>
      <c r="AD140" s="163">
        <v>1024</v>
      </c>
      <c r="AE140" s="163">
        <v>140</v>
      </c>
      <c r="AF140" s="163">
        <v>1344</v>
      </c>
      <c r="AG140" s="163">
        <v>206</v>
      </c>
      <c r="AH140" s="163">
        <v>125279000</v>
      </c>
      <c r="AI140" s="163">
        <v>132472000</v>
      </c>
    </row>
    <row r="141" spans="1:35" x14ac:dyDescent="0.2">
      <c r="A141" t="s">
        <v>638</v>
      </c>
      <c r="B141" t="s">
        <v>486</v>
      </c>
      <c r="C141" s="163">
        <v>239272354.25920126</v>
      </c>
      <c r="D141" s="163">
        <v>98358588.259201258</v>
      </c>
      <c r="E141" s="163">
        <v>115866862</v>
      </c>
      <c r="F141" s="163">
        <v>25816235.859430399</v>
      </c>
      <c r="G141" s="163">
        <v>24053218.859430399</v>
      </c>
      <c r="H141" s="163">
        <v>1763017</v>
      </c>
      <c r="I141" s="163">
        <v>53374889.008439101</v>
      </c>
      <c r="J141" s="163">
        <v>18496331.4977955</v>
      </c>
      <c r="K141" s="163">
        <v>34878557.510643601</v>
      </c>
      <c r="L141" s="163">
        <v>36675737.029235497</v>
      </c>
      <c r="M141" s="163">
        <v>7294147</v>
      </c>
      <c r="N141" s="163">
        <v>375510</v>
      </c>
      <c r="O141" s="163">
        <v>671529</v>
      </c>
      <c r="P141" s="163">
        <v>28334551</v>
      </c>
      <c r="Q141" s="163">
        <v>11014308</v>
      </c>
      <c r="R141" s="163">
        <v>14032596</v>
      </c>
      <c r="S141" s="163">
        <v>58821539</v>
      </c>
      <c r="T141" s="163">
        <v>13748</v>
      </c>
      <c r="U141" s="163">
        <v>2242000</v>
      </c>
      <c r="V141" s="163">
        <v>13080</v>
      </c>
      <c r="W141" s="163">
        <v>10352</v>
      </c>
      <c r="X141" s="163">
        <v>2042</v>
      </c>
      <c r="Y141" s="163">
        <v>287</v>
      </c>
      <c r="Z141" s="163">
        <v>187</v>
      </c>
      <c r="AA141" s="163">
        <v>846</v>
      </c>
      <c r="AB141" s="163">
        <v>8433</v>
      </c>
      <c r="AC141" s="163">
        <v>9649</v>
      </c>
      <c r="AD141" s="163">
        <v>1387</v>
      </c>
      <c r="AE141" s="163">
        <v>462</v>
      </c>
      <c r="AF141" s="163">
        <v>1498</v>
      </c>
      <c r="AG141" s="163">
        <v>385</v>
      </c>
      <c r="AH141" s="163">
        <v>377731000</v>
      </c>
      <c r="AI141" s="163">
        <v>383588000</v>
      </c>
    </row>
    <row r="142" spans="1:35" x14ac:dyDescent="0.2">
      <c r="A142" t="s">
        <v>629</v>
      </c>
      <c r="B142" t="s">
        <v>445</v>
      </c>
      <c r="C142" s="163">
        <v>18387935.740195293</v>
      </c>
      <c r="D142" s="163">
        <v>11898335.740195293</v>
      </c>
      <c r="E142" s="163">
        <v>5095810</v>
      </c>
      <c r="F142" s="163">
        <v>1994184.9700643199</v>
      </c>
      <c r="G142" s="163">
        <v>1819635.9700643199</v>
      </c>
      <c r="H142" s="163">
        <v>174549</v>
      </c>
      <c r="I142" s="163">
        <v>1942642.8473525499</v>
      </c>
      <c r="J142" s="163">
        <v>1942642.8473525499</v>
      </c>
      <c r="K142" s="163">
        <v>0</v>
      </c>
      <c r="L142" s="163">
        <v>1158982.51596894</v>
      </c>
      <c r="M142" s="163">
        <v>38112</v>
      </c>
      <c r="N142" s="163">
        <v>15355</v>
      </c>
      <c r="O142" s="163">
        <v>33871</v>
      </c>
      <c r="P142" s="163">
        <v>1071644</v>
      </c>
      <c r="Q142" s="163">
        <v>1270758</v>
      </c>
      <c r="R142" s="163">
        <v>123032</v>
      </c>
      <c r="S142" s="163">
        <v>1710707</v>
      </c>
      <c r="T142" s="163">
        <v>0</v>
      </c>
      <c r="U142" s="163">
        <v>54000</v>
      </c>
      <c r="V142" s="163">
        <v>2394</v>
      </c>
      <c r="W142" s="163">
        <v>1124</v>
      </c>
      <c r="X142" s="163">
        <v>0</v>
      </c>
      <c r="Y142" s="163">
        <v>0</v>
      </c>
      <c r="Z142" s="163">
        <v>180</v>
      </c>
      <c r="AA142" s="163">
        <v>0</v>
      </c>
      <c r="AB142" s="163">
        <v>1947</v>
      </c>
      <c r="AC142" s="163">
        <v>1331</v>
      </c>
      <c r="AD142" s="163">
        <v>314</v>
      </c>
      <c r="AE142" s="163">
        <v>2</v>
      </c>
      <c r="AF142" s="163">
        <v>603</v>
      </c>
      <c r="AG142" s="163">
        <v>16</v>
      </c>
      <c r="AH142" s="163">
        <v>32559000</v>
      </c>
      <c r="AI142" s="163">
        <v>33655000</v>
      </c>
    </row>
    <row r="143" spans="1:35" x14ac:dyDescent="0.2">
      <c r="A143" t="s">
        <v>630</v>
      </c>
      <c r="B143" t="s">
        <v>320</v>
      </c>
      <c r="C143" s="163">
        <v>24545384.655052863</v>
      </c>
      <c r="D143" s="163">
        <v>15809213.655052863</v>
      </c>
      <c r="E143" s="163">
        <v>6895920</v>
      </c>
      <c r="F143" s="163">
        <v>2953489.3636171501</v>
      </c>
      <c r="G143" s="163">
        <v>2590124.3636171501</v>
      </c>
      <c r="H143" s="163">
        <v>363365</v>
      </c>
      <c r="I143" s="163">
        <v>2615652.5927644102</v>
      </c>
      <c r="J143" s="163">
        <v>2615652.5927644102</v>
      </c>
      <c r="K143" s="163">
        <v>0</v>
      </c>
      <c r="L143" s="163">
        <v>1326778.0221893</v>
      </c>
      <c r="M143" s="163">
        <v>131319</v>
      </c>
      <c r="N143" s="163">
        <v>57234</v>
      </c>
      <c r="O143" s="163">
        <v>104558</v>
      </c>
      <c r="P143" s="163">
        <v>1033667</v>
      </c>
      <c r="Q143" s="163">
        <v>1689910</v>
      </c>
      <c r="R143" s="163">
        <v>150341</v>
      </c>
      <c r="S143" s="163">
        <v>3478901</v>
      </c>
      <c r="T143" s="163">
        <v>968</v>
      </c>
      <c r="U143" s="163">
        <v>0</v>
      </c>
      <c r="V143" s="163">
        <v>3258</v>
      </c>
      <c r="W143" s="163">
        <v>362</v>
      </c>
      <c r="X143" s="163">
        <v>0</v>
      </c>
      <c r="Y143" s="163">
        <v>0</v>
      </c>
      <c r="Z143" s="163">
        <v>39</v>
      </c>
      <c r="AA143" s="163">
        <v>0</v>
      </c>
      <c r="AB143" s="163">
        <v>1802</v>
      </c>
      <c r="AC143" s="163">
        <v>2436</v>
      </c>
      <c r="AD143" s="163">
        <v>388</v>
      </c>
      <c r="AE143" s="163">
        <v>129</v>
      </c>
      <c r="AF143" s="163">
        <v>490</v>
      </c>
      <c r="AG143" s="163">
        <v>73</v>
      </c>
      <c r="AH143" s="163">
        <v>45741000</v>
      </c>
      <c r="AI143" s="163">
        <v>45948000</v>
      </c>
    </row>
    <row r="144" spans="1:35" x14ac:dyDescent="0.2">
      <c r="A144" t="s">
        <v>634</v>
      </c>
      <c r="B144" t="s">
        <v>207</v>
      </c>
      <c r="C144" s="163">
        <v>48074627.394432068</v>
      </c>
      <c r="D144" s="163">
        <v>28609098.394432068</v>
      </c>
      <c r="E144" s="163">
        <v>16300841</v>
      </c>
      <c r="F144" s="163">
        <v>7458874.6586055504</v>
      </c>
      <c r="G144" s="163">
        <v>6176397.6586055504</v>
      </c>
      <c r="H144" s="163">
        <v>1282477</v>
      </c>
      <c r="I144" s="163">
        <v>4747860.1075016297</v>
      </c>
      <c r="J144" s="163">
        <v>4747860.1075016297</v>
      </c>
      <c r="K144" s="163">
        <v>0</v>
      </c>
      <c r="L144" s="163">
        <v>4094106.04834279</v>
      </c>
      <c r="M144" s="163">
        <v>376770</v>
      </c>
      <c r="N144" s="163">
        <v>50254</v>
      </c>
      <c r="O144" s="163">
        <v>100140</v>
      </c>
      <c r="P144" s="163">
        <v>3566942</v>
      </c>
      <c r="Q144" s="163">
        <v>2816471</v>
      </c>
      <c r="R144" s="163">
        <v>348217</v>
      </c>
      <c r="S144" s="163">
        <v>6065836</v>
      </c>
      <c r="T144" s="163">
        <v>0</v>
      </c>
      <c r="U144" s="163">
        <v>123000</v>
      </c>
      <c r="V144" s="163">
        <v>4993</v>
      </c>
      <c r="W144" s="163">
        <v>2997</v>
      </c>
      <c r="X144" s="163">
        <v>22</v>
      </c>
      <c r="Y144" s="163">
        <v>0</v>
      </c>
      <c r="Z144" s="163">
        <v>393</v>
      </c>
      <c r="AA144" s="163">
        <v>283</v>
      </c>
      <c r="AB144" s="163">
        <v>3988</v>
      </c>
      <c r="AC144" s="163">
        <v>2615</v>
      </c>
      <c r="AD144" s="163">
        <v>519</v>
      </c>
      <c r="AE144" s="163">
        <v>354</v>
      </c>
      <c r="AF144" s="163">
        <v>608</v>
      </c>
      <c r="AG144" s="163">
        <v>111</v>
      </c>
      <c r="AH144" s="163">
        <v>83732000</v>
      </c>
      <c r="AI144" s="163">
        <v>84740000</v>
      </c>
    </row>
    <row r="145" spans="1:35" x14ac:dyDescent="0.2">
      <c r="A145" t="s">
        <v>633</v>
      </c>
      <c r="B145" t="s">
        <v>362</v>
      </c>
      <c r="C145" s="163">
        <v>49156780.969609693</v>
      </c>
      <c r="D145" s="163">
        <v>32731233.969609693</v>
      </c>
      <c r="E145" s="163">
        <v>13392638</v>
      </c>
      <c r="F145" s="163">
        <v>7049970.5440486204</v>
      </c>
      <c r="G145" s="163">
        <v>5994618.5440486204</v>
      </c>
      <c r="H145" s="163">
        <v>1055352</v>
      </c>
      <c r="I145" s="163">
        <v>4729808.4874603301</v>
      </c>
      <c r="J145" s="163">
        <v>4729808.4874603301</v>
      </c>
      <c r="K145" s="163">
        <v>0</v>
      </c>
      <c r="L145" s="163">
        <v>1157994.22015263</v>
      </c>
      <c r="M145" s="163">
        <v>962086</v>
      </c>
      <c r="N145" s="163">
        <v>79569</v>
      </c>
      <c r="O145" s="163">
        <v>116340</v>
      </c>
      <c r="P145" s="163">
        <v>0</v>
      </c>
      <c r="Q145" s="163">
        <v>2695105</v>
      </c>
      <c r="R145" s="163">
        <v>337804</v>
      </c>
      <c r="S145" s="163">
        <v>11480887</v>
      </c>
      <c r="T145" s="163">
        <v>4011</v>
      </c>
      <c r="U145" s="163">
        <v>453000</v>
      </c>
      <c r="V145" s="163">
        <v>3410</v>
      </c>
      <c r="W145" s="163">
        <v>1650</v>
      </c>
      <c r="X145" s="163">
        <v>4</v>
      </c>
      <c r="Y145" s="163">
        <v>0</v>
      </c>
      <c r="Z145" s="163">
        <v>325</v>
      </c>
      <c r="AA145" s="163">
        <v>243</v>
      </c>
      <c r="AB145" s="163">
        <v>2722</v>
      </c>
      <c r="AC145" s="163">
        <v>3524</v>
      </c>
      <c r="AD145" s="163">
        <v>740</v>
      </c>
      <c r="AE145" s="163">
        <v>76</v>
      </c>
      <c r="AF145" s="163">
        <v>128</v>
      </c>
      <c r="AG145" s="163">
        <v>122</v>
      </c>
      <c r="AH145" s="163">
        <v>97360000</v>
      </c>
      <c r="AI145" s="163">
        <v>96374000</v>
      </c>
    </row>
    <row r="146" spans="1:35" x14ac:dyDescent="0.2">
      <c r="A146" t="s">
        <v>629</v>
      </c>
      <c r="B146" t="s">
        <v>446</v>
      </c>
      <c r="C146" s="163">
        <v>177127326.76419795</v>
      </c>
      <c r="D146" s="163">
        <v>85790664.764197946</v>
      </c>
      <c r="E146" s="163">
        <v>78269393</v>
      </c>
      <c r="F146" s="163">
        <v>24674472.807819601</v>
      </c>
      <c r="G146" s="163">
        <v>19240781.807819601</v>
      </c>
      <c r="H146" s="163">
        <v>5433691</v>
      </c>
      <c r="I146" s="163">
        <v>31326236.517337002</v>
      </c>
      <c r="J146" s="163">
        <v>11905513.802849643</v>
      </c>
      <c r="K146" s="163">
        <v>19420722.714487359</v>
      </c>
      <c r="L146" s="163">
        <v>22268683.282582</v>
      </c>
      <c r="M146" s="163">
        <v>3600325</v>
      </c>
      <c r="N146" s="163">
        <v>113072</v>
      </c>
      <c r="O146" s="163">
        <v>765779</v>
      </c>
      <c r="P146" s="163">
        <v>17789507</v>
      </c>
      <c r="Q146" s="163">
        <v>6745660</v>
      </c>
      <c r="R146" s="163">
        <v>6321609</v>
      </c>
      <c r="S146" s="163">
        <v>39892947</v>
      </c>
      <c r="T146" s="163">
        <v>30167</v>
      </c>
      <c r="U146" s="163">
        <v>4064000</v>
      </c>
      <c r="V146" s="163">
        <v>13489</v>
      </c>
      <c r="W146" s="163">
        <v>7855</v>
      </c>
      <c r="X146" s="163">
        <v>3399</v>
      </c>
      <c r="Y146" s="163">
        <v>305</v>
      </c>
      <c r="Z146" s="163">
        <v>100</v>
      </c>
      <c r="AA146" s="163">
        <v>702</v>
      </c>
      <c r="AB146" s="163">
        <v>9391</v>
      </c>
      <c r="AC146" s="163">
        <v>8402</v>
      </c>
      <c r="AD146" s="163">
        <v>1197</v>
      </c>
      <c r="AE146" s="163">
        <v>0</v>
      </c>
      <c r="AF146" s="163">
        <v>2424</v>
      </c>
      <c r="AG146" s="163">
        <v>208</v>
      </c>
      <c r="AH146" s="163">
        <v>317805000</v>
      </c>
      <c r="AI146" s="163">
        <v>332935000</v>
      </c>
    </row>
    <row r="147" spans="1:35" x14ac:dyDescent="0.2">
      <c r="A147" t="s">
        <v>633</v>
      </c>
      <c r="B147" t="s">
        <v>363</v>
      </c>
      <c r="C147" s="163">
        <v>32549331.34598051</v>
      </c>
      <c r="D147" s="163">
        <v>22001446.34598051</v>
      </c>
      <c r="E147" s="163">
        <v>8633119</v>
      </c>
      <c r="F147" s="163">
        <v>5006637.5037700403</v>
      </c>
      <c r="G147" s="163">
        <v>4616379.5037700403</v>
      </c>
      <c r="H147" s="163">
        <v>390258</v>
      </c>
      <c r="I147" s="163">
        <v>2570066.4071726701</v>
      </c>
      <c r="J147" s="163">
        <v>2570066.4071726701</v>
      </c>
      <c r="K147" s="163">
        <v>0</v>
      </c>
      <c r="L147" s="163">
        <v>1056415.5135194899</v>
      </c>
      <c r="M147" s="163">
        <v>72752</v>
      </c>
      <c r="N147" s="163">
        <v>41878</v>
      </c>
      <c r="O147" s="163">
        <v>69215</v>
      </c>
      <c r="P147" s="163">
        <v>872570</v>
      </c>
      <c r="Q147" s="163">
        <v>1654555</v>
      </c>
      <c r="R147" s="163">
        <v>260211</v>
      </c>
      <c r="S147" s="163">
        <v>4292171</v>
      </c>
      <c r="T147" s="163">
        <v>6040</v>
      </c>
      <c r="U147" s="163">
        <v>54000</v>
      </c>
      <c r="V147" s="163">
        <v>3631</v>
      </c>
      <c r="W147" s="163">
        <v>1544</v>
      </c>
      <c r="X147" s="163">
        <v>0</v>
      </c>
      <c r="Y147" s="163">
        <v>524</v>
      </c>
      <c r="Z147" s="163">
        <v>0</v>
      </c>
      <c r="AA147" s="163">
        <v>151</v>
      </c>
      <c r="AB147" s="163">
        <v>2167</v>
      </c>
      <c r="AC147" s="163">
        <v>3476</v>
      </c>
      <c r="AD147" s="163">
        <v>571</v>
      </c>
      <c r="AE147" s="163">
        <v>419</v>
      </c>
      <c r="AF147" s="163">
        <v>460</v>
      </c>
      <c r="AG147" s="163">
        <v>92</v>
      </c>
      <c r="AH147" s="163">
        <v>65905000</v>
      </c>
      <c r="AI147" s="163">
        <v>66038000</v>
      </c>
    </row>
    <row r="148" spans="1:35" x14ac:dyDescent="0.2">
      <c r="A148" t="s">
        <v>634</v>
      </c>
      <c r="B148" t="s">
        <v>529</v>
      </c>
      <c r="C148" s="163">
        <v>134482723.77582669</v>
      </c>
      <c r="D148" s="163">
        <v>78320665.775826693</v>
      </c>
      <c r="E148" s="163">
        <v>47458216</v>
      </c>
      <c r="F148" s="163">
        <v>20528915.755401101</v>
      </c>
      <c r="G148" s="163">
        <v>16018581.755401101</v>
      </c>
      <c r="H148" s="163">
        <v>4510334</v>
      </c>
      <c r="I148" s="163">
        <v>11176580.1721974</v>
      </c>
      <c r="J148" s="163">
        <v>11176580.1721974</v>
      </c>
      <c r="K148" s="163">
        <v>0</v>
      </c>
      <c r="L148" s="163">
        <v>15752720.1246069</v>
      </c>
      <c r="M148" s="163">
        <v>3091648</v>
      </c>
      <c r="N148" s="163">
        <v>181473</v>
      </c>
      <c r="O148" s="163">
        <v>422651</v>
      </c>
      <c r="P148" s="163">
        <v>12056948</v>
      </c>
      <c r="Q148" s="163">
        <v>6714329</v>
      </c>
      <c r="R148" s="163">
        <v>1989513</v>
      </c>
      <c r="S148" s="163">
        <v>36218164</v>
      </c>
      <c r="T148" s="163">
        <v>31990</v>
      </c>
      <c r="U148" s="163">
        <v>1062000</v>
      </c>
      <c r="V148" s="163">
        <v>10446</v>
      </c>
      <c r="W148" s="163">
        <v>12085</v>
      </c>
      <c r="X148" s="163">
        <v>1565</v>
      </c>
      <c r="Y148" s="163">
        <v>298</v>
      </c>
      <c r="Z148" s="163">
        <v>131</v>
      </c>
      <c r="AA148" s="163">
        <v>740</v>
      </c>
      <c r="AB148" s="163">
        <v>9259</v>
      </c>
      <c r="AC148" s="163">
        <v>7525</v>
      </c>
      <c r="AD148" s="163">
        <v>1687</v>
      </c>
      <c r="AE148" s="163">
        <v>524</v>
      </c>
      <c r="AF148" s="163">
        <v>1915</v>
      </c>
      <c r="AG148" s="163">
        <v>949</v>
      </c>
      <c r="AH148" s="163">
        <v>277996000</v>
      </c>
      <c r="AI148" s="163">
        <v>272718000</v>
      </c>
    </row>
    <row r="149" spans="1:35" x14ac:dyDescent="0.2">
      <c r="A149" t="s">
        <v>631</v>
      </c>
      <c r="B149" t="s">
        <v>245</v>
      </c>
      <c r="C149" s="163">
        <v>19358684.557856459</v>
      </c>
      <c r="D149" s="163">
        <v>11839427.557856459</v>
      </c>
      <c r="E149" s="163">
        <v>6318226</v>
      </c>
      <c r="F149" s="163">
        <v>2701309.2762766299</v>
      </c>
      <c r="G149" s="163">
        <v>2330048.2762766299</v>
      </c>
      <c r="H149" s="163">
        <v>371261</v>
      </c>
      <c r="I149" s="163">
        <v>1997657.97445447</v>
      </c>
      <c r="J149" s="163">
        <v>1997657.97445447</v>
      </c>
      <c r="K149" s="163">
        <v>0</v>
      </c>
      <c r="L149" s="163">
        <v>1619258.4397892</v>
      </c>
      <c r="M149" s="163">
        <v>129061</v>
      </c>
      <c r="N149" s="163">
        <v>26523</v>
      </c>
      <c r="O149" s="163">
        <v>51543</v>
      </c>
      <c r="P149" s="163">
        <v>1412132</v>
      </c>
      <c r="Q149" s="163">
        <v>1123645</v>
      </c>
      <c r="R149" s="163">
        <v>77386</v>
      </c>
      <c r="S149" s="163">
        <v>3389082</v>
      </c>
      <c r="T149" s="163">
        <v>10049</v>
      </c>
      <c r="U149" s="163">
        <v>56000</v>
      </c>
      <c r="V149" s="163">
        <v>3426</v>
      </c>
      <c r="W149" s="163">
        <v>1131</v>
      </c>
      <c r="X149" s="163">
        <v>0</v>
      </c>
      <c r="Y149" s="163">
        <v>0</v>
      </c>
      <c r="Z149" s="163">
        <v>0</v>
      </c>
      <c r="AA149" s="163">
        <v>173</v>
      </c>
      <c r="AB149" s="163">
        <v>1210</v>
      </c>
      <c r="AC149" s="163">
        <v>1136</v>
      </c>
      <c r="AD149" s="163">
        <v>310</v>
      </c>
      <c r="AE149" s="163">
        <v>80</v>
      </c>
      <c r="AF149" s="163">
        <v>240</v>
      </c>
      <c r="AG149" s="163">
        <v>46</v>
      </c>
      <c r="AH149" s="163">
        <v>34232000</v>
      </c>
      <c r="AI149" s="163">
        <v>34240000</v>
      </c>
    </row>
    <row r="150" spans="1:35" x14ac:dyDescent="0.2">
      <c r="A150" t="s">
        <v>629</v>
      </c>
      <c r="B150" t="s">
        <v>447</v>
      </c>
      <c r="C150" s="163">
        <v>52656675.417325169</v>
      </c>
      <c r="D150" s="163">
        <v>32814347.417325169</v>
      </c>
      <c r="E150" s="163">
        <v>16359147</v>
      </c>
      <c r="F150" s="163">
        <v>6869834.2328871796</v>
      </c>
      <c r="G150" s="163">
        <v>6334719.2328871796</v>
      </c>
      <c r="H150" s="163">
        <v>535115</v>
      </c>
      <c r="I150" s="163">
        <v>5315646.6298563899</v>
      </c>
      <c r="J150" s="163">
        <v>5315646.6298563899</v>
      </c>
      <c r="K150" s="163">
        <v>0</v>
      </c>
      <c r="L150" s="163">
        <v>4173666.5688018501</v>
      </c>
      <c r="M150" s="163">
        <v>372479</v>
      </c>
      <c r="N150" s="163">
        <v>46066</v>
      </c>
      <c r="O150" s="163">
        <v>166410</v>
      </c>
      <c r="P150" s="163">
        <v>3588711</v>
      </c>
      <c r="Q150" s="163">
        <v>3078401</v>
      </c>
      <c r="R150" s="163">
        <v>404780</v>
      </c>
      <c r="S150" s="163">
        <v>8677490</v>
      </c>
      <c r="T150" s="163">
        <v>1521</v>
      </c>
      <c r="U150" s="163">
        <v>428000</v>
      </c>
      <c r="V150" s="163">
        <v>5700</v>
      </c>
      <c r="W150" s="163">
        <v>2555</v>
      </c>
      <c r="X150" s="163">
        <v>82</v>
      </c>
      <c r="Y150" s="163">
        <v>0</v>
      </c>
      <c r="Z150" s="163">
        <v>90</v>
      </c>
      <c r="AA150" s="163">
        <v>306</v>
      </c>
      <c r="AB150" s="163">
        <v>3375</v>
      </c>
      <c r="AC150" s="163">
        <v>2886</v>
      </c>
      <c r="AD150" s="163">
        <v>658</v>
      </c>
      <c r="AE150" s="163">
        <v>160</v>
      </c>
      <c r="AF150" s="163">
        <v>1052</v>
      </c>
      <c r="AG150" s="163">
        <v>51</v>
      </c>
      <c r="AH150" s="163">
        <v>105427000</v>
      </c>
      <c r="AI150" s="163">
        <v>103637000</v>
      </c>
    </row>
    <row r="151" spans="1:35" x14ac:dyDescent="0.2">
      <c r="A151" t="s">
        <v>633</v>
      </c>
      <c r="B151" t="s">
        <v>364</v>
      </c>
      <c r="C151" s="163">
        <v>26917721.417771604</v>
      </c>
      <c r="D151" s="163">
        <v>16937120.417771604</v>
      </c>
      <c r="E151" s="163">
        <v>8241663</v>
      </c>
      <c r="F151" s="163">
        <v>3915932.9740304798</v>
      </c>
      <c r="G151" s="163">
        <v>3469374.9740304798</v>
      </c>
      <c r="H151" s="163">
        <v>446558</v>
      </c>
      <c r="I151" s="163">
        <v>2551949.7991301101</v>
      </c>
      <c r="J151" s="163">
        <v>2551949.7991301101</v>
      </c>
      <c r="K151" s="163">
        <v>0</v>
      </c>
      <c r="L151" s="163">
        <v>1773780.4279108001</v>
      </c>
      <c r="M151" s="163">
        <v>72721</v>
      </c>
      <c r="N151" s="163">
        <v>33503</v>
      </c>
      <c r="O151" s="163">
        <v>98668</v>
      </c>
      <c r="P151" s="163">
        <v>1568889</v>
      </c>
      <c r="Q151" s="163">
        <v>1561733</v>
      </c>
      <c r="R151" s="163">
        <v>177205</v>
      </c>
      <c r="S151" s="163">
        <v>3367754</v>
      </c>
      <c r="T151" s="163">
        <v>3910</v>
      </c>
      <c r="U151" s="163">
        <v>62000</v>
      </c>
      <c r="V151" s="163">
        <v>2388</v>
      </c>
      <c r="W151" s="163">
        <v>1169</v>
      </c>
      <c r="X151" s="163">
        <v>0</v>
      </c>
      <c r="Y151" s="163">
        <v>1867</v>
      </c>
      <c r="Z151" s="163">
        <v>0</v>
      </c>
      <c r="AA151" s="163">
        <v>78</v>
      </c>
      <c r="AB151" s="163">
        <v>2226</v>
      </c>
      <c r="AC151" s="163">
        <v>2430</v>
      </c>
      <c r="AD151" s="163">
        <v>354</v>
      </c>
      <c r="AE151" s="163">
        <v>84</v>
      </c>
      <c r="AF151" s="163">
        <v>272</v>
      </c>
      <c r="AG151" s="163">
        <v>108</v>
      </c>
      <c r="AH151" s="163">
        <v>41560000</v>
      </c>
      <c r="AI151" s="163">
        <v>42252000</v>
      </c>
    </row>
    <row r="152" spans="1:35" x14ac:dyDescent="0.2">
      <c r="A152" t="s">
        <v>629</v>
      </c>
      <c r="B152" t="s">
        <v>448</v>
      </c>
      <c r="C152" s="163">
        <v>17887712.393979184</v>
      </c>
      <c r="D152" s="163">
        <v>11269400.393979184</v>
      </c>
      <c r="E152" s="163">
        <v>5479404</v>
      </c>
      <c r="F152" s="163">
        <v>2007038.5356761499</v>
      </c>
      <c r="G152" s="163">
        <v>1848101.5356761499</v>
      </c>
      <c r="H152" s="163">
        <v>158937</v>
      </c>
      <c r="I152" s="163">
        <v>1747586.2356904501</v>
      </c>
      <c r="J152" s="163">
        <v>1747586.2356904501</v>
      </c>
      <c r="K152" s="163">
        <v>0</v>
      </c>
      <c r="L152" s="163">
        <v>1724779.62826268</v>
      </c>
      <c r="M152" s="163">
        <v>37639</v>
      </c>
      <c r="N152" s="163">
        <v>8376</v>
      </c>
      <c r="O152" s="163">
        <v>20617</v>
      </c>
      <c r="P152" s="163">
        <v>1658148</v>
      </c>
      <c r="Q152" s="163">
        <v>1006931</v>
      </c>
      <c r="R152" s="163">
        <v>131977</v>
      </c>
      <c r="S152" s="163">
        <v>1628492</v>
      </c>
      <c r="T152" s="163">
        <v>5431</v>
      </c>
      <c r="U152" s="163">
        <v>0</v>
      </c>
      <c r="V152" s="163">
        <v>2271</v>
      </c>
      <c r="W152" s="163">
        <v>1104</v>
      </c>
      <c r="X152" s="163">
        <v>2</v>
      </c>
      <c r="Y152" s="163">
        <v>390</v>
      </c>
      <c r="Z152" s="163">
        <v>830</v>
      </c>
      <c r="AA152" s="163">
        <v>150</v>
      </c>
      <c r="AB152" s="163">
        <v>1382</v>
      </c>
      <c r="AC152" s="163">
        <v>798</v>
      </c>
      <c r="AD152" s="163">
        <v>307</v>
      </c>
      <c r="AE152" s="163">
        <v>0</v>
      </c>
      <c r="AF152" s="163">
        <v>555</v>
      </c>
      <c r="AG152" s="163">
        <v>247</v>
      </c>
      <c r="AH152" s="163">
        <v>32240000</v>
      </c>
      <c r="AI152" s="163">
        <v>32115000</v>
      </c>
    </row>
    <row r="153" spans="1:35" x14ac:dyDescent="0.2">
      <c r="A153" t="s">
        <v>630</v>
      </c>
      <c r="B153" t="s">
        <v>321</v>
      </c>
      <c r="C153" s="163">
        <v>142893366.10930645</v>
      </c>
      <c r="D153" s="163">
        <v>82606956.109306455</v>
      </c>
      <c r="E153" s="163">
        <v>49010233</v>
      </c>
      <c r="F153" s="163">
        <v>14759765.24309</v>
      </c>
      <c r="G153" s="163">
        <v>13220016.24309</v>
      </c>
      <c r="H153" s="163">
        <v>1539749</v>
      </c>
      <c r="I153" s="163">
        <v>24773003.501603801</v>
      </c>
      <c r="J153" s="163">
        <v>10105142.21778501</v>
      </c>
      <c r="K153" s="163">
        <v>14667861.283818791</v>
      </c>
      <c r="L153" s="163">
        <v>9477464.4518058207</v>
      </c>
      <c r="M153" s="163">
        <v>2049029</v>
      </c>
      <c r="N153" s="163">
        <v>100508</v>
      </c>
      <c r="O153" s="163">
        <v>229734</v>
      </c>
      <c r="P153" s="163">
        <v>7098194</v>
      </c>
      <c r="Q153" s="163">
        <v>6386571</v>
      </c>
      <c r="R153" s="163">
        <v>4889606</v>
      </c>
      <c r="S153" s="163">
        <v>27606564</v>
      </c>
      <c r="T153" s="163">
        <v>25814</v>
      </c>
      <c r="U153" s="163">
        <v>1431000</v>
      </c>
      <c r="V153" s="163">
        <v>10339</v>
      </c>
      <c r="W153" s="163">
        <v>8973</v>
      </c>
      <c r="X153" s="163">
        <v>4907</v>
      </c>
      <c r="Y153" s="163">
        <v>309</v>
      </c>
      <c r="Z153" s="163">
        <v>0</v>
      </c>
      <c r="AA153" s="163">
        <v>508</v>
      </c>
      <c r="AB153" s="163">
        <v>8835</v>
      </c>
      <c r="AC153" s="163">
        <v>8971</v>
      </c>
      <c r="AD153" s="163">
        <v>1798</v>
      </c>
      <c r="AE153" s="163">
        <v>0</v>
      </c>
      <c r="AF153" s="163">
        <v>2595</v>
      </c>
      <c r="AG153" s="163">
        <v>496</v>
      </c>
      <c r="AH153" s="163">
        <v>228996000</v>
      </c>
      <c r="AI153" s="163">
        <v>232874000</v>
      </c>
    </row>
    <row r="154" spans="1:35" x14ac:dyDescent="0.2">
      <c r="A154" t="s">
        <v>634</v>
      </c>
      <c r="B154" t="s">
        <v>208</v>
      </c>
      <c r="C154" s="163">
        <v>43913284.636286855</v>
      </c>
      <c r="D154" s="163">
        <v>28115939.636286855</v>
      </c>
      <c r="E154" s="163">
        <v>12588023</v>
      </c>
      <c r="F154" s="163">
        <v>5169011.0745319296</v>
      </c>
      <c r="G154" s="163">
        <v>4719251.0745319296</v>
      </c>
      <c r="H154" s="163">
        <v>449760</v>
      </c>
      <c r="I154" s="163">
        <v>4600966.8217023304</v>
      </c>
      <c r="J154" s="163">
        <v>4600966.8217023304</v>
      </c>
      <c r="K154" s="163">
        <v>0</v>
      </c>
      <c r="L154" s="163">
        <v>2818045.2121009701</v>
      </c>
      <c r="M154" s="163">
        <v>303667</v>
      </c>
      <c r="N154" s="163">
        <v>43274</v>
      </c>
      <c r="O154" s="163">
        <v>79523</v>
      </c>
      <c r="P154" s="163">
        <v>2391581</v>
      </c>
      <c r="Q154" s="163">
        <v>2916914</v>
      </c>
      <c r="R154" s="163">
        <v>292408</v>
      </c>
      <c r="S154" s="163">
        <v>6260642</v>
      </c>
      <c r="T154" s="163">
        <v>12963</v>
      </c>
      <c r="U154" s="163">
        <v>75000</v>
      </c>
      <c r="V154" s="163">
        <v>4002</v>
      </c>
      <c r="W154" s="163">
        <v>2634</v>
      </c>
      <c r="X154" s="163">
        <v>14</v>
      </c>
      <c r="Y154" s="163">
        <v>0</v>
      </c>
      <c r="Z154" s="163">
        <v>408</v>
      </c>
      <c r="AA154" s="163">
        <v>81</v>
      </c>
      <c r="AB154" s="163">
        <v>4579</v>
      </c>
      <c r="AC154" s="163">
        <v>2922</v>
      </c>
      <c r="AD154" s="163">
        <v>633</v>
      </c>
      <c r="AE154" s="163">
        <v>251</v>
      </c>
      <c r="AF154" s="163">
        <v>753</v>
      </c>
      <c r="AG154" s="163">
        <v>194</v>
      </c>
      <c r="AH154" s="163">
        <v>71742000</v>
      </c>
      <c r="AI154" s="163">
        <v>75438000</v>
      </c>
    </row>
    <row r="155" spans="1:35" x14ac:dyDescent="0.2">
      <c r="A155" t="s">
        <v>630</v>
      </c>
      <c r="B155" t="s">
        <v>322</v>
      </c>
      <c r="C155" s="163">
        <v>60564953.310467035</v>
      </c>
      <c r="D155" s="163">
        <v>39715840.310467035</v>
      </c>
      <c r="E155" s="163">
        <v>17239206</v>
      </c>
      <c r="F155" s="163">
        <v>8282372.8505915701</v>
      </c>
      <c r="G155" s="163">
        <v>7107006.8505915701</v>
      </c>
      <c r="H155" s="163">
        <v>1175366</v>
      </c>
      <c r="I155" s="163">
        <v>5513150.3673689198</v>
      </c>
      <c r="J155" s="163">
        <v>5513150.3673689198</v>
      </c>
      <c r="K155" s="163">
        <v>0</v>
      </c>
      <c r="L155" s="163">
        <v>3443682.5378315002</v>
      </c>
      <c r="M155" s="163">
        <v>330862</v>
      </c>
      <c r="N155" s="163">
        <v>100508</v>
      </c>
      <c r="O155" s="163">
        <v>160519</v>
      </c>
      <c r="P155" s="163">
        <v>2851793</v>
      </c>
      <c r="Q155" s="163">
        <v>3087105</v>
      </c>
      <c r="R155" s="163">
        <v>522802</v>
      </c>
      <c r="S155" s="163">
        <v>8772640</v>
      </c>
      <c r="T155" s="163">
        <v>8296</v>
      </c>
      <c r="U155" s="163">
        <v>105000</v>
      </c>
      <c r="V155" s="163">
        <v>5101</v>
      </c>
      <c r="W155" s="163">
        <v>4126</v>
      </c>
      <c r="X155" s="163">
        <v>0</v>
      </c>
      <c r="Y155" s="163">
        <v>0</v>
      </c>
      <c r="Z155" s="163">
        <v>76</v>
      </c>
      <c r="AA155" s="163">
        <v>179</v>
      </c>
      <c r="AB155" s="163">
        <v>4085</v>
      </c>
      <c r="AC155" s="163">
        <v>5741</v>
      </c>
      <c r="AD155" s="163">
        <v>809</v>
      </c>
      <c r="AE155" s="163">
        <v>337</v>
      </c>
      <c r="AF155" s="163">
        <v>1068</v>
      </c>
      <c r="AG155" s="163">
        <v>301</v>
      </c>
      <c r="AH155" s="163">
        <v>96451000</v>
      </c>
      <c r="AI155" s="163">
        <v>95481000</v>
      </c>
    </row>
    <row r="156" spans="1:35" x14ac:dyDescent="0.2">
      <c r="A156" t="s">
        <v>628</v>
      </c>
      <c r="B156" t="s">
        <v>148</v>
      </c>
      <c r="C156" s="163">
        <v>121448562.48856705</v>
      </c>
      <c r="D156" s="163">
        <v>51682097.488567054</v>
      </c>
      <c r="E156" s="163">
        <v>63625163</v>
      </c>
      <c r="F156" s="163">
        <v>15294163.4684895</v>
      </c>
      <c r="G156" s="163">
        <v>12427728.4684895</v>
      </c>
      <c r="H156" s="163">
        <v>2866435</v>
      </c>
      <c r="I156" s="163">
        <v>9084923.2214218993</v>
      </c>
      <c r="J156" s="163">
        <v>9084923.2214218993</v>
      </c>
      <c r="K156" s="163">
        <v>0</v>
      </c>
      <c r="L156" s="163">
        <v>39246076.237387702</v>
      </c>
      <c r="M156" s="163">
        <v>1816749</v>
      </c>
      <c r="N156" s="163">
        <v>94924</v>
      </c>
      <c r="O156" s="163">
        <v>322511</v>
      </c>
      <c r="P156" s="163">
        <v>37011892</v>
      </c>
      <c r="Q156" s="163">
        <v>5349535</v>
      </c>
      <c r="R156" s="163">
        <v>791767</v>
      </c>
      <c r="S156" s="163">
        <v>19311354</v>
      </c>
      <c r="T156" s="163">
        <v>42572</v>
      </c>
      <c r="U156" s="163">
        <v>895000</v>
      </c>
      <c r="V156" s="163">
        <v>6473</v>
      </c>
      <c r="W156" s="163">
        <v>4290</v>
      </c>
      <c r="X156" s="163">
        <v>2839</v>
      </c>
      <c r="Y156" s="163">
        <v>102</v>
      </c>
      <c r="Z156" s="163">
        <v>107</v>
      </c>
      <c r="AA156" s="163">
        <v>250</v>
      </c>
      <c r="AB156" s="163">
        <v>4550</v>
      </c>
      <c r="AC156" s="163">
        <v>5332</v>
      </c>
      <c r="AD156" s="163">
        <v>956</v>
      </c>
      <c r="AE156" s="163">
        <v>871</v>
      </c>
      <c r="AF156" s="163">
        <v>954</v>
      </c>
      <c r="AG156" s="163">
        <v>117</v>
      </c>
      <c r="AH156" s="163">
        <v>193149000</v>
      </c>
      <c r="AI156" s="163">
        <v>194818000</v>
      </c>
    </row>
    <row r="157" spans="1:35" x14ac:dyDescent="0.2">
      <c r="A157" t="s">
        <v>630</v>
      </c>
      <c r="B157" t="s">
        <v>323</v>
      </c>
      <c r="C157" s="163">
        <v>126127865.95513254</v>
      </c>
      <c r="D157" s="163">
        <v>70885720.955132544</v>
      </c>
      <c r="E157" s="163">
        <v>46968731</v>
      </c>
      <c r="F157" s="163">
        <v>18627337.523389898</v>
      </c>
      <c r="G157" s="163">
        <v>16724322.523389898</v>
      </c>
      <c r="H157" s="163">
        <v>1903015</v>
      </c>
      <c r="I157" s="163">
        <v>20445630.5819945</v>
      </c>
      <c r="J157" s="163">
        <v>9781851.7765649054</v>
      </c>
      <c r="K157" s="163">
        <v>10663778.805429595</v>
      </c>
      <c r="L157" s="163">
        <v>7895763.0172061296</v>
      </c>
      <c r="M157" s="163">
        <v>1839617</v>
      </c>
      <c r="N157" s="163">
        <v>337819</v>
      </c>
      <c r="O157" s="163">
        <v>499229</v>
      </c>
      <c r="P157" s="163">
        <v>5219098</v>
      </c>
      <c r="Q157" s="163">
        <v>5058521</v>
      </c>
      <c r="R157" s="163">
        <v>3214893</v>
      </c>
      <c r="S157" s="163">
        <v>22880515</v>
      </c>
      <c r="T157" s="163">
        <v>22658</v>
      </c>
      <c r="U157" s="163">
        <v>981000</v>
      </c>
      <c r="V157" s="163">
        <v>7372</v>
      </c>
      <c r="W157" s="163">
        <v>3468</v>
      </c>
      <c r="X157" s="163">
        <v>4041</v>
      </c>
      <c r="Y157" s="163">
        <v>230</v>
      </c>
      <c r="Z157" s="163">
        <v>0</v>
      </c>
      <c r="AA157" s="163">
        <v>1106</v>
      </c>
      <c r="AB157" s="163">
        <v>5158</v>
      </c>
      <c r="AC157" s="163">
        <v>10049</v>
      </c>
      <c r="AD157" s="163">
        <v>1430</v>
      </c>
      <c r="AE157" s="163">
        <v>332</v>
      </c>
      <c r="AF157" s="163">
        <v>814</v>
      </c>
      <c r="AG157" s="163">
        <v>200</v>
      </c>
      <c r="AH157" s="163">
        <v>209217000</v>
      </c>
      <c r="AI157" s="163">
        <v>210453000</v>
      </c>
    </row>
    <row r="158" spans="1:35" x14ac:dyDescent="0.2">
      <c r="A158" t="s">
        <v>638</v>
      </c>
      <c r="B158" t="s">
        <v>487</v>
      </c>
      <c r="C158" s="163">
        <v>52612002.192059696</v>
      </c>
      <c r="D158" s="163">
        <v>32765953.192059696</v>
      </c>
      <c r="E158" s="163">
        <v>16441810</v>
      </c>
      <c r="F158" s="163">
        <v>6837870.7461841404</v>
      </c>
      <c r="G158" s="163">
        <v>5540153.7461841404</v>
      </c>
      <c r="H158" s="163">
        <v>1297717</v>
      </c>
      <c r="I158" s="163">
        <v>5190293.5758454204</v>
      </c>
      <c r="J158" s="163">
        <v>5190293.5758454204</v>
      </c>
      <c r="K158" s="163">
        <v>0</v>
      </c>
      <c r="L158" s="163">
        <v>4413646.0365635902</v>
      </c>
      <c r="M158" s="163">
        <v>105347</v>
      </c>
      <c r="N158" s="163">
        <v>54442</v>
      </c>
      <c r="O158" s="163">
        <v>94250</v>
      </c>
      <c r="P158" s="163">
        <v>4159608</v>
      </c>
      <c r="Q158" s="163">
        <v>3039900</v>
      </c>
      <c r="R158" s="163">
        <v>364339</v>
      </c>
      <c r="S158" s="163">
        <v>6624307</v>
      </c>
      <c r="T158" s="163">
        <v>25089</v>
      </c>
      <c r="U158" s="163">
        <v>51000</v>
      </c>
      <c r="V158" s="163">
        <v>6873</v>
      </c>
      <c r="W158" s="163">
        <v>3241</v>
      </c>
      <c r="X158" s="163">
        <v>1</v>
      </c>
      <c r="Y158" s="163">
        <v>17</v>
      </c>
      <c r="Z158" s="163">
        <v>2330</v>
      </c>
      <c r="AA158" s="163">
        <v>90</v>
      </c>
      <c r="AB158" s="163">
        <v>3567</v>
      </c>
      <c r="AC158" s="163">
        <v>2692</v>
      </c>
      <c r="AD158" s="163">
        <v>662</v>
      </c>
      <c r="AE158" s="163">
        <v>18</v>
      </c>
      <c r="AF158" s="163">
        <v>1000</v>
      </c>
      <c r="AG158" s="163">
        <v>25</v>
      </c>
      <c r="AH158" s="163">
        <v>87059000</v>
      </c>
      <c r="AI158" s="163">
        <v>89166000</v>
      </c>
    </row>
    <row r="159" spans="1:35" x14ac:dyDescent="0.2">
      <c r="A159" t="s">
        <v>636</v>
      </c>
      <c r="B159" t="s">
        <v>283</v>
      </c>
      <c r="C159" s="163">
        <v>53754584.160718404</v>
      </c>
      <c r="D159" s="163">
        <v>36221401.160718404</v>
      </c>
      <c r="E159" s="163">
        <v>14985977</v>
      </c>
      <c r="F159" s="163">
        <v>9905507.2676331196</v>
      </c>
      <c r="G159" s="163">
        <v>8003211.2676331196</v>
      </c>
      <c r="H159" s="163">
        <v>1902296</v>
      </c>
      <c r="I159" s="163">
        <v>4187668.9184226901</v>
      </c>
      <c r="J159" s="163">
        <v>4187668.9184226901</v>
      </c>
      <c r="K159" s="163">
        <v>0</v>
      </c>
      <c r="L159" s="163">
        <v>892801.13335434196</v>
      </c>
      <c r="M159" s="163">
        <v>127254</v>
      </c>
      <c r="N159" s="163">
        <v>76777</v>
      </c>
      <c r="O159" s="163">
        <v>113394</v>
      </c>
      <c r="P159" s="163">
        <v>575376</v>
      </c>
      <c r="Q159" s="163">
        <v>2089337</v>
      </c>
      <c r="R159" s="163">
        <v>457869</v>
      </c>
      <c r="S159" s="163">
        <v>7159551</v>
      </c>
      <c r="T159" s="163">
        <v>8683</v>
      </c>
      <c r="U159" s="163">
        <v>149000</v>
      </c>
      <c r="V159" s="163">
        <v>7314</v>
      </c>
      <c r="W159" s="163">
        <v>4644</v>
      </c>
      <c r="X159" s="163">
        <v>15</v>
      </c>
      <c r="Y159" s="163">
        <v>0</v>
      </c>
      <c r="Z159" s="163">
        <v>166</v>
      </c>
      <c r="AA159" s="163">
        <v>171</v>
      </c>
      <c r="AB159" s="163">
        <v>2347</v>
      </c>
      <c r="AC159" s="163">
        <v>3468</v>
      </c>
      <c r="AD159" s="163">
        <v>855</v>
      </c>
      <c r="AE159" s="163">
        <v>141</v>
      </c>
      <c r="AF159" s="163">
        <v>733</v>
      </c>
      <c r="AG159" s="163">
        <v>341</v>
      </c>
      <c r="AH159" s="163">
        <v>102537000</v>
      </c>
      <c r="AI159" s="163">
        <v>105598000</v>
      </c>
    </row>
    <row r="160" spans="1:35" x14ac:dyDescent="0.2">
      <c r="A160" t="s">
        <v>630</v>
      </c>
      <c r="B160" t="s">
        <v>324</v>
      </c>
      <c r="C160" s="163">
        <v>51491506.424081862</v>
      </c>
      <c r="D160" s="163">
        <v>33838841.424081862</v>
      </c>
      <c r="E160" s="163">
        <v>14399342</v>
      </c>
      <c r="F160" s="163">
        <v>6792759.7838679496</v>
      </c>
      <c r="G160" s="163">
        <v>6336454.7838679496</v>
      </c>
      <c r="H160" s="163">
        <v>456305</v>
      </c>
      <c r="I160" s="163">
        <v>4716215.2849146798</v>
      </c>
      <c r="J160" s="163">
        <v>4716215.2849146798</v>
      </c>
      <c r="K160" s="163">
        <v>0</v>
      </c>
      <c r="L160" s="163">
        <v>2890367.0901540099</v>
      </c>
      <c r="M160" s="163">
        <v>688842</v>
      </c>
      <c r="N160" s="163">
        <v>36295</v>
      </c>
      <c r="O160" s="163">
        <v>94250</v>
      </c>
      <c r="P160" s="163">
        <v>2070981</v>
      </c>
      <c r="Q160" s="163">
        <v>2850999</v>
      </c>
      <c r="R160" s="163">
        <v>402324</v>
      </c>
      <c r="S160" s="163">
        <v>10761463</v>
      </c>
      <c r="T160" s="163">
        <v>13654</v>
      </c>
      <c r="U160" s="163">
        <v>202000</v>
      </c>
      <c r="V160" s="163">
        <v>2903</v>
      </c>
      <c r="W160" s="163">
        <v>1149</v>
      </c>
      <c r="X160" s="163">
        <v>5</v>
      </c>
      <c r="Y160" s="163">
        <v>152</v>
      </c>
      <c r="Z160" s="163">
        <v>60</v>
      </c>
      <c r="AA160" s="163">
        <v>114</v>
      </c>
      <c r="AB160" s="163">
        <v>4039</v>
      </c>
      <c r="AC160" s="163">
        <v>4954</v>
      </c>
      <c r="AD160" s="163">
        <v>862</v>
      </c>
      <c r="AE160" s="163">
        <v>697</v>
      </c>
      <c r="AF160" s="163">
        <v>521</v>
      </c>
      <c r="AG160" s="163">
        <v>121</v>
      </c>
      <c r="AH160" s="163">
        <v>83145000</v>
      </c>
      <c r="AI160" s="163">
        <v>85214000</v>
      </c>
    </row>
    <row r="161" spans="1:35" x14ac:dyDescent="0.2">
      <c r="A161" t="s">
        <v>640</v>
      </c>
      <c r="B161" t="s">
        <v>405</v>
      </c>
      <c r="C161" s="163">
        <v>39898134.617298275</v>
      </c>
      <c r="D161" s="163">
        <v>24526151.617298275</v>
      </c>
      <c r="E161" s="163">
        <v>12517740</v>
      </c>
      <c r="F161" s="163">
        <v>4357954.3434420004</v>
      </c>
      <c r="G161" s="163">
        <v>3716571.3434420004</v>
      </c>
      <c r="H161" s="163">
        <v>641383</v>
      </c>
      <c r="I161" s="163">
        <v>3963523.6802902301</v>
      </c>
      <c r="J161" s="163">
        <v>3963523.6802902301</v>
      </c>
      <c r="K161" s="163">
        <v>0</v>
      </c>
      <c r="L161" s="163">
        <v>4196261.6552466797</v>
      </c>
      <c r="M161" s="163">
        <v>216910</v>
      </c>
      <c r="N161" s="163">
        <v>23731</v>
      </c>
      <c r="O161" s="163">
        <v>123703</v>
      </c>
      <c r="P161" s="163">
        <v>3831918</v>
      </c>
      <c r="Q161" s="163">
        <v>2421836</v>
      </c>
      <c r="R161" s="163">
        <v>432407</v>
      </c>
      <c r="S161" s="163">
        <v>4870852</v>
      </c>
      <c r="T161" s="163">
        <v>5146</v>
      </c>
      <c r="U161" s="163">
        <v>92000</v>
      </c>
      <c r="V161" s="163">
        <v>2760</v>
      </c>
      <c r="W161" s="163">
        <v>1523</v>
      </c>
      <c r="X161" s="163">
        <v>839</v>
      </c>
      <c r="Y161" s="163">
        <v>835</v>
      </c>
      <c r="Z161" s="163">
        <v>85</v>
      </c>
      <c r="AA161" s="163">
        <v>482</v>
      </c>
      <c r="AB161" s="163">
        <v>3245</v>
      </c>
      <c r="AC161" s="163">
        <v>3412</v>
      </c>
      <c r="AD161" s="163">
        <v>466</v>
      </c>
      <c r="AE161" s="163">
        <v>123</v>
      </c>
      <c r="AF161" s="163">
        <v>506</v>
      </c>
      <c r="AG161" s="163">
        <v>271</v>
      </c>
      <c r="AH161" s="163">
        <v>60839000</v>
      </c>
      <c r="AI161" s="163">
        <v>62243000</v>
      </c>
    </row>
    <row r="162" spans="1:35" x14ac:dyDescent="0.2">
      <c r="A162" t="s">
        <v>636</v>
      </c>
      <c r="B162" t="s">
        <v>284</v>
      </c>
      <c r="C162" s="163">
        <v>43636551.724965222</v>
      </c>
      <c r="D162" s="163">
        <v>28117081.724965222</v>
      </c>
      <c r="E162" s="163">
        <v>13163947</v>
      </c>
      <c r="F162" s="163">
        <v>6630353.7724613203</v>
      </c>
      <c r="G162" s="163">
        <v>6079155.7724613203</v>
      </c>
      <c r="H162" s="163">
        <v>551198</v>
      </c>
      <c r="I162" s="163">
        <v>3623704.2086986201</v>
      </c>
      <c r="J162" s="163">
        <v>3623704.2086986201</v>
      </c>
      <c r="K162" s="163">
        <v>0</v>
      </c>
      <c r="L162" s="163">
        <v>2909888.7292142599</v>
      </c>
      <c r="M162" s="163">
        <v>313446</v>
      </c>
      <c r="N162" s="163">
        <v>72589</v>
      </c>
      <c r="O162" s="163">
        <v>125175</v>
      </c>
      <c r="P162" s="163">
        <v>2398678</v>
      </c>
      <c r="Q162" s="163">
        <v>2005802</v>
      </c>
      <c r="R162" s="163">
        <v>349721</v>
      </c>
      <c r="S162" s="163">
        <v>6881121</v>
      </c>
      <c r="T162" s="163">
        <v>2783</v>
      </c>
      <c r="U162" s="163">
        <v>325000</v>
      </c>
      <c r="V162" s="163">
        <v>3703</v>
      </c>
      <c r="W162" s="163">
        <v>1260</v>
      </c>
      <c r="X162" s="163">
        <v>1348</v>
      </c>
      <c r="Y162" s="163">
        <v>0</v>
      </c>
      <c r="Z162" s="163">
        <v>0</v>
      </c>
      <c r="AA162" s="163">
        <v>96</v>
      </c>
      <c r="AB162" s="163">
        <v>2986</v>
      </c>
      <c r="AC162" s="163">
        <v>3113</v>
      </c>
      <c r="AD162" s="163">
        <v>644</v>
      </c>
      <c r="AE162" s="163">
        <v>218</v>
      </c>
      <c r="AF162" s="163">
        <v>625</v>
      </c>
      <c r="AG162" s="163">
        <v>90</v>
      </c>
      <c r="AH162" s="163">
        <v>71057000</v>
      </c>
      <c r="AI162" s="163">
        <v>71482000</v>
      </c>
    </row>
    <row r="163" spans="1:35" x14ac:dyDescent="0.2">
      <c r="A163" t="s">
        <v>633</v>
      </c>
      <c r="B163" t="s">
        <v>365</v>
      </c>
      <c r="C163" s="163">
        <v>28233462.284411646</v>
      </c>
      <c r="D163" s="163">
        <v>19327251.284411646</v>
      </c>
      <c r="E163" s="163">
        <v>7129972</v>
      </c>
      <c r="F163" s="163">
        <v>3225358.68748231</v>
      </c>
      <c r="G163" s="163">
        <v>2650428.68748231</v>
      </c>
      <c r="H163" s="163">
        <v>574930</v>
      </c>
      <c r="I163" s="163">
        <v>2719727.20317266</v>
      </c>
      <c r="J163" s="163">
        <v>2719727.20317266</v>
      </c>
      <c r="K163" s="163">
        <v>0</v>
      </c>
      <c r="L163" s="163">
        <v>1184886.0457121099</v>
      </c>
      <c r="M163" s="163">
        <v>65658</v>
      </c>
      <c r="N163" s="163">
        <v>25127</v>
      </c>
      <c r="O163" s="163">
        <v>50070</v>
      </c>
      <c r="P163" s="163">
        <v>1044031</v>
      </c>
      <c r="Q163" s="163">
        <v>1559056</v>
      </c>
      <c r="R163" s="163">
        <v>217183</v>
      </c>
      <c r="S163" s="163">
        <v>3603001</v>
      </c>
      <c r="T163" s="163">
        <v>17127</v>
      </c>
      <c r="U163" s="163">
        <v>167000</v>
      </c>
      <c r="V163" s="163">
        <v>3591</v>
      </c>
      <c r="W163" s="163">
        <v>1284</v>
      </c>
      <c r="X163" s="163">
        <v>0</v>
      </c>
      <c r="Y163" s="163">
        <v>2698</v>
      </c>
      <c r="Z163" s="163">
        <v>0</v>
      </c>
      <c r="AA163" s="163">
        <v>311</v>
      </c>
      <c r="AB163" s="163">
        <v>3282</v>
      </c>
      <c r="AC163" s="163">
        <v>2834</v>
      </c>
      <c r="AD163" s="163">
        <v>472</v>
      </c>
      <c r="AE163" s="163">
        <v>79</v>
      </c>
      <c r="AF163" s="163">
        <v>987</v>
      </c>
      <c r="AG163" s="163">
        <v>15</v>
      </c>
      <c r="AH163" s="163">
        <v>51821000</v>
      </c>
      <c r="AI163" s="163">
        <v>53634000</v>
      </c>
    </row>
    <row r="164" spans="1:35" x14ac:dyDescent="0.2">
      <c r="A164" t="s">
        <v>634</v>
      </c>
      <c r="B164" t="s">
        <v>209</v>
      </c>
      <c r="C164" s="163">
        <v>76122624.51571393</v>
      </c>
      <c r="D164" s="163">
        <v>46325095.51571393</v>
      </c>
      <c r="E164" s="163">
        <v>25396225</v>
      </c>
      <c r="F164" s="163">
        <v>12500740.2904085</v>
      </c>
      <c r="G164" s="163">
        <v>10813903.2904085</v>
      </c>
      <c r="H164" s="163">
        <v>1686837</v>
      </c>
      <c r="I164" s="163">
        <v>6490242.0804911004</v>
      </c>
      <c r="J164" s="163">
        <v>6490242.0804911004</v>
      </c>
      <c r="K164" s="163">
        <v>0</v>
      </c>
      <c r="L164" s="163">
        <v>6405242.1457766397</v>
      </c>
      <c r="M164" s="163">
        <v>688125</v>
      </c>
      <c r="N164" s="163">
        <v>114468</v>
      </c>
      <c r="O164" s="163">
        <v>173773</v>
      </c>
      <c r="P164" s="163">
        <v>5428877</v>
      </c>
      <c r="Q164" s="163">
        <v>3768969</v>
      </c>
      <c r="R164" s="163">
        <v>632335</v>
      </c>
      <c r="S164" s="163">
        <v>11849642</v>
      </c>
      <c r="T164" s="163">
        <v>26483</v>
      </c>
      <c r="U164" s="163">
        <v>297000</v>
      </c>
      <c r="V164" s="163">
        <v>5704</v>
      </c>
      <c r="W164" s="163">
        <v>3047</v>
      </c>
      <c r="X164" s="163">
        <v>1569</v>
      </c>
      <c r="Y164" s="163">
        <v>177</v>
      </c>
      <c r="Z164" s="163">
        <v>50</v>
      </c>
      <c r="AA164" s="163">
        <v>463</v>
      </c>
      <c r="AB164" s="163">
        <v>2952</v>
      </c>
      <c r="AC164" s="163">
        <v>3825</v>
      </c>
      <c r="AD164" s="163">
        <v>1000</v>
      </c>
      <c r="AE164" s="163">
        <v>914</v>
      </c>
      <c r="AF164" s="163">
        <v>1186</v>
      </c>
      <c r="AG164" s="163">
        <v>615</v>
      </c>
      <c r="AH164" s="163">
        <v>152351000</v>
      </c>
      <c r="AI164" s="163">
        <v>151061000</v>
      </c>
    </row>
    <row r="165" spans="1:35" x14ac:dyDescent="0.2">
      <c r="A165" t="s">
        <v>640</v>
      </c>
      <c r="B165" t="s">
        <v>406</v>
      </c>
      <c r="C165" s="163">
        <v>15099922.246284619</v>
      </c>
      <c r="D165" s="163">
        <v>10048489.246284619</v>
      </c>
      <c r="E165" s="163">
        <v>4081024</v>
      </c>
      <c r="F165" s="163">
        <v>2119355.16204109</v>
      </c>
      <c r="G165" s="163">
        <v>1831804.16204109</v>
      </c>
      <c r="H165" s="163">
        <v>287551</v>
      </c>
      <c r="I165" s="163">
        <v>1320676.41045745</v>
      </c>
      <c r="J165" s="163">
        <v>1320676.41045745</v>
      </c>
      <c r="K165" s="163">
        <v>0</v>
      </c>
      <c r="L165" s="163">
        <v>640992.06563981005</v>
      </c>
      <c r="M165" s="163">
        <v>30760</v>
      </c>
      <c r="N165" s="163">
        <v>12564</v>
      </c>
      <c r="O165" s="163">
        <v>41234</v>
      </c>
      <c r="P165" s="163">
        <v>556434</v>
      </c>
      <c r="Q165" s="163">
        <v>828600</v>
      </c>
      <c r="R165" s="163">
        <v>141809</v>
      </c>
      <c r="S165" s="163">
        <v>1223376</v>
      </c>
      <c r="T165" s="163">
        <v>3421</v>
      </c>
      <c r="U165" s="163">
        <v>60000</v>
      </c>
      <c r="V165" s="163">
        <v>1362</v>
      </c>
      <c r="W165" s="163">
        <v>939</v>
      </c>
      <c r="X165" s="163">
        <v>0</v>
      </c>
      <c r="Y165" s="163">
        <v>200</v>
      </c>
      <c r="Z165" s="163">
        <v>169</v>
      </c>
      <c r="AA165" s="163">
        <v>116</v>
      </c>
      <c r="AB165" s="163">
        <v>1495</v>
      </c>
      <c r="AC165" s="163">
        <v>1150</v>
      </c>
      <c r="AD165" s="163">
        <v>170</v>
      </c>
      <c r="AE165" s="163">
        <v>225</v>
      </c>
      <c r="AF165" s="163">
        <v>454</v>
      </c>
      <c r="AG165" s="163">
        <v>57</v>
      </c>
      <c r="AH165" s="163">
        <v>27525000</v>
      </c>
      <c r="AI165" s="163">
        <v>28356000</v>
      </c>
    </row>
    <row r="166" spans="1:35" x14ac:dyDescent="0.2">
      <c r="A166" t="s">
        <v>633</v>
      </c>
      <c r="B166" t="s">
        <v>366</v>
      </c>
      <c r="C166" s="163">
        <v>79071560.180273622</v>
      </c>
      <c r="D166" s="163">
        <v>48931004.180273622</v>
      </c>
      <c r="E166" s="163">
        <v>25124032</v>
      </c>
      <c r="F166" s="163">
        <v>11105792.923652099</v>
      </c>
      <c r="G166" s="163">
        <v>9955326.9236520994</v>
      </c>
      <c r="H166" s="163">
        <v>1150466</v>
      </c>
      <c r="I166" s="163">
        <v>7206007.8127522897</v>
      </c>
      <c r="J166" s="163">
        <v>7206007.8127522897</v>
      </c>
      <c r="K166" s="163">
        <v>0</v>
      </c>
      <c r="L166" s="163">
        <v>6812230.9558440698</v>
      </c>
      <c r="M166" s="163">
        <v>577990</v>
      </c>
      <c r="N166" s="163">
        <v>94924</v>
      </c>
      <c r="O166" s="163">
        <v>217952</v>
      </c>
      <c r="P166" s="163">
        <v>5921364</v>
      </c>
      <c r="Q166" s="163">
        <v>4423615</v>
      </c>
      <c r="R166" s="163">
        <v>592909</v>
      </c>
      <c r="S166" s="163">
        <v>10838924</v>
      </c>
      <c r="T166" s="163">
        <v>9144</v>
      </c>
      <c r="U166" s="163">
        <v>739000</v>
      </c>
      <c r="V166" s="163">
        <v>6322</v>
      </c>
      <c r="W166" s="163">
        <v>3862</v>
      </c>
      <c r="X166" s="163">
        <v>2880</v>
      </c>
      <c r="Y166" s="163">
        <v>3218</v>
      </c>
      <c r="Z166" s="163">
        <v>327</v>
      </c>
      <c r="AA166" s="163">
        <v>428</v>
      </c>
      <c r="AB166" s="163">
        <v>4462</v>
      </c>
      <c r="AC166" s="163">
        <v>6742</v>
      </c>
      <c r="AD166" s="163">
        <v>1250</v>
      </c>
      <c r="AE166" s="163">
        <v>272</v>
      </c>
      <c r="AF166" s="163">
        <v>1200</v>
      </c>
      <c r="AG166" s="163">
        <v>216</v>
      </c>
      <c r="AH166" s="163">
        <v>150970000</v>
      </c>
      <c r="AI166" s="163">
        <v>157316000</v>
      </c>
    </row>
    <row r="167" spans="1:35" x14ac:dyDescent="0.2">
      <c r="A167" t="s">
        <v>638</v>
      </c>
      <c r="B167" t="s">
        <v>488</v>
      </c>
      <c r="C167" s="163">
        <v>98108820.704821765</v>
      </c>
      <c r="D167" s="163">
        <v>46742457.704821765</v>
      </c>
      <c r="E167" s="163">
        <v>45185296</v>
      </c>
      <c r="F167" s="163">
        <v>12056387.144397199</v>
      </c>
      <c r="G167" s="163">
        <v>11192902.144397199</v>
      </c>
      <c r="H167" s="163">
        <v>863485</v>
      </c>
      <c r="I167" s="163">
        <v>9288978.4029386509</v>
      </c>
      <c r="J167" s="163">
        <v>9288978.4029386509</v>
      </c>
      <c r="K167" s="163">
        <v>0</v>
      </c>
      <c r="L167" s="163">
        <v>23839930.129601698</v>
      </c>
      <c r="M167" s="163">
        <v>3057401</v>
      </c>
      <c r="N167" s="163">
        <v>164722</v>
      </c>
      <c r="O167" s="163">
        <v>301894</v>
      </c>
      <c r="P167" s="163">
        <v>20315914</v>
      </c>
      <c r="Q167" s="163">
        <v>5641111</v>
      </c>
      <c r="R167" s="163">
        <v>539956</v>
      </c>
      <c r="S167" s="163">
        <v>26334237</v>
      </c>
      <c r="T167" s="163">
        <v>10897</v>
      </c>
      <c r="U167" s="163">
        <v>480000</v>
      </c>
      <c r="V167" s="163">
        <v>6084</v>
      </c>
      <c r="W167" s="163">
        <v>4371</v>
      </c>
      <c r="X167" s="163">
        <v>705</v>
      </c>
      <c r="Y167" s="163">
        <v>94</v>
      </c>
      <c r="Z167" s="163">
        <v>133</v>
      </c>
      <c r="AA167" s="163">
        <v>500</v>
      </c>
      <c r="AB167" s="163">
        <v>5142</v>
      </c>
      <c r="AC167" s="163">
        <v>4730</v>
      </c>
      <c r="AD167" s="163">
        <v>790</v>
      </c>
      <c r="AE167" s="163">
        <v>50</v>
      </c>
      <c r="AF167" s="163">
        <v>377</v>
      </c>
      <c r="AG167" s="163">
        <v>310</v>
      </c>
      <c r="AH167" s="163">
        <v>152879000</v>
      </c>
      <c r="AI167" s="163">
        <v>155971000</v>
      </c>
    </row>
    <row r="168" spans="1:35" x14ac:dyDescent="0.2">
      <c r="A168" t="s">
        <v>630</v>
      </c>
      <c r="B168" t="s">
        <v>325</v>
      </c>
      <c r="C168" s="163">
        <v>24853289.832679823</v>
      </c>
      <c r="D168" s="163">
        <v>16687038.832679823</v>
      </c>
      <c r="E168" s="163">
        <v>6647307</v>
      </c>
      <c r="F168" s="163">
        <v>3452408.2913428098</v>
      </c>
      <c r="G168" s="163">
        <v>2866314.2913428098</v>
      </c>
      <c r="H168" s="163">
        <v>586094</v>
      </c>
      <c r="I168" s="163">
        <v>2237158.8728308901</v>
      </c>
      <c r="J168" s="163">
        <v>2237158.8728308901</v>
      </c>
      <c r="K168" s="163">
        <v>0</v>
      </c>
      <c r="L168" s="163">
        <v>957739.53025556298</v>
      </c>
      <c r="M168" s="163">
        <v>56152</v>
      </c>
      <c r="N168" s="163">
        <v>43274</v>
      </c>
      <c r="O168" s="163">
        <v>64797</v>
      </c>
      <c r="P168" s="163">
        <v>793517</v>
      </c>
      <c r="Q168" s="163">
        <v>1256292</v>
      </c>
      <c r="R168" s="163">
        <v>262652</v>
      </c>
      <c r="S168" s="163">
        <v>2254299</v>
      </c>
      <c r="T168" s="163">
        <v>950</v>
      </c>
      <c r="U168" s="163">
        <v>0</v>
      </c>
      <c r="V168" s="163">
        <v>2280</v>
      </c>
      <c r="W168" s="163">
        <v>395</v>
      </c>
      <c r="X168" s="163">
        <v>0</v>
      </c>
      <c r="Y168" s="163">
        <v>0</v>
      </c>
      <c r="Z168" s="163">
        <v>0</v>
      </c>
      <c r="AA168" s="163">
        <v>125</v>
      </c>
      <c r="AB168" s="163">
        <v>1396</v>
      </c>
      <c r="AC168" s="163">
        <v>2898</v>
      </c>
      <c r="AD168" s="163">
        <v>335</v>
      </c>
      <c r="AE168" s="163">
        <v>35</v>
      </c>
      <c r="AF168" s="163">
        <v>443</v>
      </c>
      <c r="AG168" s="163">
        <v>22</v>
      </c>
      <c r="AH168" s="163">
        <v>50359965</v>
      </c>
      <c r="AI168" s="163">
        <v>32128000</v>
      </c>
    </row>
    <row r="169" spans="1:35" x14ac:dyDescent="0.2">
      <c r="A169" t="s">
        <v>632</v>
      </c>
      <c r="B169" t="s">
        <v>517</v>
      </c>
      <c r="C169" s="163">
        <v>22700029.05888918</v>
      </c>
      <c r="D169" s="163">
        <v>12706157.05888918</v>
      </c>
      <c r="E169" s="163">
        <v>8742037</v>
      </c>
      <c r="F169" s="163">
        <v>3326684.6191442702</v>
      </c>
      <c r="G169" s="163">
        <v>2797802.6191442702</v>
      </c>
      <c r="H169" s="163">
        <v>528882</v>
      </c>
      <c r="I169" s="163">
        <v>2431378.30576389</v>
      </c>
      <c r="J169" s="163">
        <v>2431378.30576389</v>
      </c>
      <c r="K169" s="163">
        <v>0</v>
      </c>
      <c r="L169" s="163">
        <v>2983973.82011875</v>
      </c>
      <c r="M169" s="163">
        <v>439297</v>
      </c>
      <c r="N169" s="163">
        <v>25127</v>
      </c>
      <c r="O169" s="163">
        <v>39762</v>
      </c>
      <c r="P169" s="163">
        <v>2479788</v>
      </c>
      <c r="Q169" s="163">
        <v>1071192</v>
      </c>
      <c r="R169" s="163">
        <v>180643</v>
      </c>
      <c r="S169" s="163">
        <v>4459379</v>
      </c>
      <c r="T169" s="163">
        <v>3956</v>
      </c>
      <c r="U169" s="163">
        <v>57000</v>
      </c>
      <c r="V169" s="163">
        <v>1356</v>
      </c>
      <c r="W169" s="163">
        <v>844</v>
      </c>
      <c r="X169" s="163">
        <v>0</v>
      </c>
      <c r="Y169" s="163">
        <v>1073</v>
      </c>
      <c r="Z169" s="163">
        <v>47</v>
      </c>
      <c r="AA169" s="163">
        <v>35</v>
      </c>
      <c r="AB169" s="163">
        <v>1473</v>
      </c>
      <c r="AC169" s="163">
        <v>918</v>
      </c>
      <c r="AD169" s="163">
        <v>237</v>
      </c>
      <c r="AE169" s="163">
        <v>130</v>
      </c>
      <c r="AF169" s="163">
        <v>260</v>
      </c>
      <c r="AG169" s="163">
        <v>10</v>
      </c>
      <c r="AH169" s="163">
        <v>31730000</v>
      </c>
      <c r="AI169" s="163">
        <v>50705435</v>
      </c>
    </row>
    <row r="170" spans="1:35" x14ac:dyDescent="0.2">
      <c r="A170" t="s">
        <v>633</v>
      </c>
      <c r="B170" t="s">
        <v>367</v>
      </c>
      <c r="C170" s="163">
        <v>13842054.073845256</v>
      </c>
      <c r="D170" s="163">
        <v>9546218.0738452561</v>
      </c>
      <c r="E170" s="163">
        <v>3454539</v>
      </c>
      <c r="F170" s="163">
        <v>1691439.87806891</v>
      </c>
      <c r="G170" s="163">
        <v>1463481.87806891</v>
      </c>
      <c r="H170" s="163">
        <v>227958</v>
      </c>
      <c r="I170" s="163">
        <v>1221747.7290954699</v>
      </c>
      <c r="J170" s="163">
        <v>1221747.7290954699</v>
      </c>
      <c r="K170" s="163">
        <v>0</v>
      </c>
      <c r="L170" s="163">
        <v>541350.95498084102</v>
      </c>
      <c r="M170" s="163">
        <v>26455</v>
      </c>
      <c r="N170" s="163">
        <v>11168</v>
      </c>
      <c r="O170" s="163">
        <v>16199</v>
      </c>
      <c r="P170" s="163">
        <v>487529</v>
      </c>
      <c r="Q170" s="163">
        <v>714117</v>
      </c>
      <c r="R170" s="163">
        <v>127180</v>
      </c>
      <c r="S170" s="163">
        <v>1011154</v>
      </c>
      <c r="T170" s="163">
        <v>2207</v>
      </c>
      <c r="U170" s="163">
        <v>53000</v>
      </c>
      <c r="V170" s="163">
        <v>1379</v>
      </c>
      <c r="W170" s="163">
        <v>436</v>
      </c>
      <c r="X170" s="163">
        <v>0</v>
      </c>
      <c r="Y170" s="163">
        <v>756</v>
      </c>
      <c r="Z170" s="163">
        <v>53</v>
      </c>
      <c r="AA170" s="163">
        <v>93</v>
      </c>
      <c r="AB170" s="163">
        <v>1465</v>
      </c>
      <c r="AC170" s="163">
        <v>0</v>
      </c>
      <c r="AD170" s="163">
        <v>220</v>
      </c>
      <c r="AE170" s="163">
        <v>213</v>
      </c>
      <c r="AF170" s="163">
        <v>214</v>
      </c>
      <c r="AG170" s="163">
        <v>8</v>
      </c>
      <c r="AH170" s="163">
        <v>19106000</v>
      </c>
      <c r="AI170" s="163">
        <v>19501000</v>
      </c>
    </row>
    <row r="171" spans="1:35" x14ac:dyDescent="0.2">
      <c r="A171" t="s">
        <v>633</v>
      </c>
      <c r="B171" t="s">
        <v>368</v>
      </c>
      <c r="C171" s="163">
        <v>38563140.135309726</v>
      </c>
      <c r="D171" s="163">
        <v>24016598.135309726</v>
      </c>
      <c r="E171" s="163">
        <v>12001922</v>
      </c>
      <c r="F171" s="163">
        <v>5983301.4873463102</v>
      </c>
      <c r="G171" s="163">
        <v>4704963.4873463102</v>
      </c>
      <c r="H171" s="163">
        <v>1278338</v>
      </c>
      <c r="I171" s="163">
        <v>3222888.53344164</v>
      </c>
      <c r="J171" s="163">
        <v>3222888.53344164</v>
      </c>
      <c r="K171" s="163">
        <v>0</v>
      </c>
      <c r="L171" s="163">
        <v>2795731.9036342502</v>
      </c>
      <c r="M171" s="163">
        <v>391299</v>
      </c>
      <c r="N171" s="163">
        <v>54442</v>
      </c>
      <c r="O171" s="163">
        <v>83941</v>
      </c>
      <c r="P171" s="163">
        <v>2266050</v>
      </c>
      <c r="Q171" s="163">
        <v>2276824</v>
      </c>
      <c r="R171" s="163">
        <v>267796</v>
      </c>
      <c r="S171" s="163">
        <v>6255008</v>
      </c>
      <c r="T171" s="163">
        <v>178</v>
      </c>
      <c r="U171" s="163">
        <v>55000</v>
      </c>
      <c r="V171" s="163">
        <v>3670</v>
      </c>
      <c r="W171" s="163">
        <v>2187</v>
      </c>
      <c r="X171" s="163">
        <v>12</v>
      </c>
      <c r="Y171" s="163">
        <v>0</v>
      </c>
      <c r="Z171" s="163">
        <v>0</v>
      </c>
      <c r="AA171" s="163">
        <v>75</v>
      </c>
      <c r="AB171" s="163">
        <v>3115</v>
      </c>
      <c r="AC171" s="163">
        <v>3281</v>
      </c>
      <c r="AD171" s="163">
        <v>479</v>
      </c>
      <c r="AE171" s="163">
        <v>381</v>
      </c>
      <c r="AF171" s="163">
        <v>534</v>
      </c>
      <c r="AG171" s="163">
        <v>120</v>
      </c>
      <c r="AH171" s="163">
        <v>65792000</v>
      </c>
      <c r="AI171" s="163">
        <v>64564000</v>
      </c>
    </row>
    <row r="172" spans="1:35" x14ac:dyDescent="0.2">
      <c r="A172" t="s">
        <v>633</v>
      </c>
      <c r="B172" t="s">
        <v>567</v>
      </c>
      <c r="C172" s="163">
        <v>72947286.640346572</v>
      </c>
      <c r="D172" s="163">
        <v>50066568.640346572</v>
      </c>
      <c r="E172" s="163">
        <v>18622048</v>
      </c>
      <c r="F172" s="163">
        <v>9075555.2398917805</v>
      </c>
      <c r="G172" s="163">
        <v>7000033.2398917805</v>
      </c>
      <c r="H172" s="163">
        <v>2075522</v>
      </c>
      <c r="I172" s="163">
        <v>6035792.3213612996</v>
      </c>
      <c r="J172" s="163">
        <v>6035792.3213612996</v>
      </c>
      <c r="K172" s="163">
        <v>0</v>
      </c>
      <c r="L172" s="163">
        <v>3510700.2608683798</v>
      </c>
      <c r="M172" s="163">
        <v>299869</v>
      </c>
      <c r="N172" s="163">
        <v>93528</v>
      </c>
      <c r="O172" s="163">
        <v>169355</v>
      </c>
      <c r="P172" s="163">
        <v>2947948</v>
      </c>
      <c r="Q172" s="163">
        <v>3667519</v>
      </c>
      <c r="R172" s="163">
        <v>591151</v>
      </c>
      <c r="S172" s="163">
        <v>8917147</v>
      </c>
      <c r="T172" s="163">
        <v>18399</v>
      </c>
      <c r="U172" s="163">
        <v>242000</v>
      </c>
      <c r="V172" s="163">
        <v>6926</v>
      </c>
      <c r="W172" s="163">
        <v>4079</v>
      </c>
      <c r="X172" s="163">
        <v>21</v>
      </c>
      <c r="Y172" s="163">
        <v>0</v>
      </c>
      <c r="Z172" s="163">
        <v>146</v>
      </c>
      <c r="AA172" s="163">
        <v>299</v>
      </c>
      <c r="AB172" s="163">
        <v>6447</v>
      </c>
      <c r="AC172" s="163">
        <v>4739</v>
      </c>
      <c r="AD172" s="163">
        <v>984</v>
      </c>
      <c r="AE172" s="163">
        <v>880</v>
      </c>
      <c r="AF172" s="163">
        <v>1155</v>
      </c>
      <c r="AG172" s="163">
        <v>276</v>
      </c>
      <c r="AH172" s="163">
        <v>139587000</v>
      </c>
      <c r="AI172" s="163">
        <v>139411000</v>
      </c>
    </row>
    <row r="173" spans="1:35" x14ac:dyDescent="0.2">
      <c r="A173" t="s">
        <v>629</v>
      </c>
      <c r="B173" t="s">
        <v>449</v>
      </c>
      <c r="C173" s="163">
        <v>26974194.5182909</v>
      </c>
      <c r="D173" s="163">
        <v>15747167.5182909</v>
      </c>
      <c r="E173" s="163">
        <v>9395448</v>
      </c>
      <c r="F173" s="163">
        <v>3894680.71496853</v>
      </c>
      <c r="G173" s="163">
        <v>3205097.71496853</v>
      </c>
      <c r="H173" s="163">
        <v>689583</v>
      </c>
      <c r="I173" s="163">
        <v>2784751.3451994401</v>
      </c>
      <c r="J173" s="163">
        <v>2784751.3451994401</v>
      </c>
      <c r="K173" s="163">
        <v>0</v>
      </c>
      <c r="L173" s="163">
        <v>2716016.36994485</v>
      </c>
      <c r="M173" s="163">
        <v>54372</v>
      </c>
      <c r="N173" s="163">
        <v>22335</v>
      </c>
      <c r="O173" s="163">
        <v>57433</v>
      </c>
      <c r="P173" s="163">
        <v>2581875</v>
      </c>
      <c r="Q173" s="163">
        <v>1631723</v>
      </c>
      <c r="R173" s="163">
        <v>199856</v>
      </c>
      <c r="S173" s="163">
        <v>2974539</v>
      </c>
      <c r="T173" s="163">
        <v>15227</v>
      </c>
      <c r="U173" s="163">
        <v>60000</v>
      </c>
      <c r="V173" s="163">
        <v>2549</v>
      </c>
      <c r="W173" s="163">
        <v>1554</v>
      </c>
      <c r="X173" s="163">
        <v>0</v>
      </c>
      <c r="Y173" s="163">
        <v>0</v>
      </c>
      <c r="Z173" s="163">
        <v>0</v>
      </c>
      <c r="AA173" s="163">
        <v>18</v>
      </c>
      <c r="AB173" s="163">
        <v>1730</v>
      </c>
      <c r="AC173" s="163">
        <v>1465</v>
      </c>
      <c r="AD173" s="163">
        <v>406</v>
      </c>
      <c r="AE173" s="163">
        <v>0</v>
      </c>
      <c r="AF173" s="163">
        <v>614</v>
      </c>
      <c r="AG173" s="163">
        <v>33</v>
      </c>
      <c r="AH173" s="163">
        <v>40085000</v>
      </c>
      <c r="AI173" s="163">
        <v>40888000</v>
      </c>
    </row>
    <row r="174" spans="1:35" x14ac:dyDescent="0.2">
      <c r="A174" t="s">
        <v>629</v>
      </c>
      <c r="B174" t="s">
        <v>450</v>
      </c>
      <c r="C174" s="163">
        <v>19709184.212151542</v>
      </c>
      <c r="D174" s="163">
        <v>11199979.212151542</v>
      </c>
      <c r="E174" s="163">
        <v>7357848</v>
      </c>
      <c r="F174" s="163">
        <v>3259750.9043220999</v>
      </c>
      <c r="G174" s="163">
        <v>2223306.9043220999</v>
      </c>
      <c r="H174" s="163">
        <v>1036444</v>
      </c>
      <c r="I174" s="163">
        <v>1829818.6770607401</v>
      </c>
      <c r="J174" s="163">
        <v>1829818.6770607401</v>
      </c>
      <c r="K174" s="163">
        <v>0</v>
      </c>
      <c r="L174" s="163">
        <v>2268277.9297602801</v>
      </c>
      <c r="M174" s="163">
        <v>38112</v>
      </c>
      <c r="N174" s="163">
        <v>20939</v>
      </c>
      <c r="O174" s="163">
        <v>75105</v>
      </c>
      <c r="P174" s="163">
        <v>2134121</v>
      </c>
      <c r="Q174" s="163">
        <v>1034241</v>
      </c>
      <c r="R174" s="163">
        <v>117116</v>
      </c>
      <c r="S174" s="163">
        <v>1747169</v>
      </c>
      <c r="T174" s="163">
        <v>0</v>
      </c>
      <c r="U174" s="163">
        <v>51000</v>
      </c>
      <c r="V174" s="163">
        <v>1753</v>
      </c>
      <c r="W174" s="163">
        <v>1380</v>
      </c>
      <c r="X174" s="163">
        <v>0</v>
      </c>
      <c r="Y174" s="163">
        <v>7</v>
      </c>
      <c r="Z174" s="163">
        <v>258</v>
      </c>
      <c r="AA174" s="163">
        <v>26</v>
      </c>
      <c r="AB174" s="163">
        <v>1090</v>
      </c>
      <c r="AC174" s="163">
        <v>1357</v>
      </c>
      <c r="AD174" s="163">
        <v>208</v>
      </c>
      <c r="AE174" s="163">
        <v>30</v>
      </c>
      <c r="AF174" s="163">
        <v>682</v>
      </c>
      <c r="AG174" s="163">
        <v>25</v>
      </c>
      <c r="AH174" s="163">
        <v>31938000</v>
      </c>
      <c r="AI174" s="163">
        <v>36773000</v>
      </c>
    </row>
    <row r="175" spans="1:35" x14ac:dyDescent="0.2">
      <c r="A175" t="s">
        <v>638</v>
      </c>
      <c r="B175" t="s">
        <v>489</v>
      </c>
      <c r="C175" s="163">
        <v>67164364.260623187</v>
      </c>
      <c r="D175" s="163">
        <v>33726629.260623187</v>
      </c>
      <c r="E175" s="163">
        <v>29001735</v>
      </c>
      <c r="F175" s="163">
        <v>9383448.5711466707</v>
      </c>
      <c r="G175" s="163">
        <v>8403439.5711466707</v>
      </c>
      <c r="H175" s="163">
        <v>980009</v>
      </c>
      <c r="I175" s="163">
        <v>6861917.1949841296</v>
      </c>
      <c r="J175" s="163">
        <v>6861917.1949841296</v>
      </c>
      <c r="K175" s="163">
        <v>0</v>
      </c>
      <c r="L175" s="163">
        <v>12756369.433848299</v>
      </c>
      <c r="M175" s="163">
        <v>1582629</v>
      </c>
      <c r="N175" s="163">
        <v>87945</v>
      </c>
      <c r="O175" s="163">
        <v>151683</v>
      </c>
      <c r="P175" s="163">
        <v>10934112</v>
      </c>
      <c r="Q175" s="163">
        <v>4002891</v>
      </c>
      <c r="R175" s="163">
        <v>433109</v>
      </c>
      <c r="S175" s="163">
        <v>13504839</v>
      </c>
      <c r="T175" s="163">
        <v>4158</v>
      </c>
      <c r="U175" s="163">
        <v>88000</v>
      </c>
      <c r="V175" s="163">
        <v>5211</v>
      </c>
      <c r="W175" s="163">
        <v>2044</v>
      </c>
      <c r="X175" s="163">
        <v>13</v>
      </c>
      <c r="Y175" s="163">
        <v>28</v>
      </c>
      <c r="Z175" s="163">
        <v>101</v>
      </c>
      <c r="AA175" s="163">
        <v>379</v>
      </c>
      <c r="AB175" s="163">
        <v>4525</v>
      </c>
      <c r="AC175" s="163">
        <v>3195</v>
      </c>
      <c r="AD175" s="163">
        <v>533</v>
      </c>
      <c r="AE175" s="163">
        <v>20</v>
      </c>
      <c r="AF175" s="163">
        <v>283</v>
      </c>
      <c r="AG175" s="163">
        <v>60</v>
      </c>
      <c r="AH175" s="163">
        <v>100124000</v>
      </c>
      <c r="AI175" s="163">
        <v>103592000</v>
      </c>
    </row>
    <row r="176" spans="1:35" x14ac:dyDescent="0.2">
      <c r="A176" t="s">
        <v>630</v>
      </c>
      <c r="B176" t="s">
        <v>326</v>
      </c>
      <c r="C176" s="163">
        <v>12160382.20355987</v>
      </c>
      <c r="D176" s="163">
        <v>8600178.2035598699</v>
      </c>
      <c r="E176" s="163">
        <v>2794641</v>
      </c>
      <c r="F176" s="163">
        <v>1480782.0074330701</v>
      </c>
      <c r="G176" s="163">
        <v>1219995.0074330701</v>
      </c>
      <c r="H176" s="163">
        <v>260787</v>
      </c>
      <c r="I176" s="163">
        <v>1056874.4996444499</v>
      </c>
      <c r="J176" s="163">
        <v>1056874.4996444499</v>
      </c>
      <c r="K176" s="163">
        <v>0</v>
      </c>
      <c r="L176" s="163">
        <v>256984.94139565001</v>
      </c>
      <c r="M176" s="163">
        <v>27022</v>
      </c>
      <c r="N176" s="163">
        <v>20939</v>
      </c>
      <c r="O176" s="163">
        <v>29453</v>
      </c>
      <c r="P176" s="163">
        <v>179571</v>
      </c>
      <c r="Q176" s="163">
        <v>673682</v>
      </c>
      <c r="R176" s="163">
        <v>91881</v>
      </c>
      <c r="S176" s="163">
        <v>1606154</v>
      </c>
      <c r="T176" s="163">
        <v>3291</v>
      </c>
      <c r="U176" s="163">
        <v>0</v>
      </c>
      <c r="V176" s="163">
        <v>1659</v>
      </c>
      <c r="W176" s="163">
        <v>470</v>
      </c>
      <c r="X176" s="163">
        <v>0</v>
      </c>
      <c r="Y176" s="163">
        <v>19</v>
      </c>
      <c r="Z176" s="163">
        <v>15</v>
      </c>
      <c r="AA176" s="163">
        <v>3</v>
      </c>
      <c r="AB176" s="163">
        <v>1066</v>
      </c>
      <c r="AC176" s="163">
        <v>1082</v>
      </c>
      <c r="AD176" s="163">
        <v>219</v>
      </c>
      <c r="AE176" s="163">
        <v>116</v>
      </c>
      <c r="AF176" s="163">
        <v>303</v>
      </c>
      <c r="AG176" s="163">
        <v>117</v>
      </c>
      <c r="AH176" s="163">
        <v>20702773</v>
      </c>
      <c r="AI176" s="163">
        <v>21187481</v>
      </c>
    </row>
    <row r="177" spans="1:35" x14ac:dyDescent="0.2">
      <c r="A177" t="s">
        <v>630</v>
      </c>
      <c r="B177" t="s">
        <v>327</v>
      </c>
      <c r="C177" s="163">
        <v>31161119.955497459</v>
      </c>
      <c r="D177" s="163">
        <v>19447560.955497459</v>
      </c>
      <c r="E177" s="163">
        <v>9897149</v>
      </c>
      <c r="F177" s="163">
        <v>5474690.2211037604</v>
      </c>
      <c r="G177" s="163">
        <v>4577011.2211037604</v>
      </c>
      <c r="H177" s="163">
        <v>897679</v>
      </c>
      <c r="I177" s="163">
        <v>2842440.5264916099</v>
      </c>
      <c r="J177" s="163">
        <v>2842440.5264916099</v>
      </c>
      <c r="K177" s="163">
        <v>0</v>
      </c>
      <c r="L177" s="163">
        <v>1580018.34687911</v>
      </c>
      <c r="M177" s="163">
        <v>105122</v>
      </c>
      <c r="N177" s="163">
        <v>65610</v>
      </c>
      <c r="O177" s="163">
        <v>106031</v>
      </c>
      <c r="P177" s="163">
        <v>1303256</v>
      </c>
      <c r="Q177" s="163">
        <v>1542419</v>
      </c>
      <c r="R177" s="163">
        <v>273991</v>
      </c>
      <c r="S177" s="163">
        <v>4289267</v>
      </c>
      <c r="T177" s="163">
        <v>6853</v>
      </c>
      <c r="U177" s="163">
        <v>110000</v>
      </c>
      <c r="V177" s="163">
        <v>3276</v>
      </c>
      <c r="W177" s="163">
        <v>1485</v>
      </c>
      <c r="X177" s="163">
        <v>0</v>
      </c>
      <c r="Y177" s="163">
        <v>1691</v>
      </c>
      <c r="Z177" s="163">
        <v>65</v>
      </c>
      <c r="AA177" s="163">
        <v>22</v>
      </c>
      <c r="AB177" s="163">
        <v>3756</v>
      </c>
      <c r="AC177" s="163">
        <v>2488</v>
      </c>
      <c r="AD177" s="163">
        <v>486</v>
      </c>
      <c r="AE177" s="163">
        <v>239</v>
      </c>
      <c r="AF177" s="163">
        <v>1127</v>
      </c>
      <c r="AG177" s="163">
        <v>46</v>
      </c>
      <c r="AH177" s="163">
        <v>53821000</v>
      </c>
      <c r="AI177" s="163">
        <v>55715000</v>
      </c>
    </row>
    <row r="178" spans="1:35" x14ac:dyDescent="0.2">
      <c r="A178" t="s">
        <v>633</v>
      </c>
      <c r="B178" t="s">
        <v>369</v>
      </c>
      <c r="C178" s="163">
        <v>60536062.298005477</v>
      </c>
      <c r="D178" s="163">
        <v>43985158.298005477</v>
      </c>
      <c r="E178" s="163">
        <v>13799498</v>
      </c>
      <c r="F178" s="163">
        <v>9460894.2066253703</v>
      </c>
      <c r="G178" s="163">
        <v>8274364.2066253703</v>
      </c>
      <c r="H178" s="163">
        <v>1186530</v>
      </c>
      <c r="I178" s="163">
        <v>3997895.5147555</v>
      </c>
      <c r="J178" s="163">
        <v>3997895.5147555</v>
      </c>
      <c r="K178" s="163">
        <v>0</v>
      </c>
      <c r="L178" s="163">
        <v>340708.05175415101</v>
      </c>
      <c r="M178" s="163">
        <v>147409</v>
      </c>
      <c r="N178" s="163">
        <v>50254</v>
      </c>
      <c r="O178" s="163">
        <v>82469</v>
      </c>
      <c r="P178" s="163">
        <v>60577</v>
      </c>
      <c r="Q178" s="163">
        <v>2309907</v>
      </c>
      <c r="R178" s="163">
        <v>441499</v>
      </c>
      <c r="S178" s="163">
        <v>7749791</v>
      </c>
      <c r="T178" s="163">
        <v>8202</v>
      </c>
      <c r="U178" s="163">
        <v>281000</v>
      </c>
      <c r="V178" s="163">
        <v>8877</v>
      </c>
      <c r="W178" s="163">
        <v>5856</v>
      </c>
      <c r="X178" s="163">
        <v>0</v>
      </c>
      <c r="Y178" s="163">
        <v>245</v>
      </c>
      <c r="Z178" s="163">
        <v>0</v>
      </c>
      <c r="AA178" s="163">
        <v>295</v>
      </c>
      <c r="AB178" s="163">
        <v>6276</v>
      </c>
      <c r="AC178" s="163">
        <v>3844</v>
      </c>
      <c r="AD178" s="163">
        <v>1114</v>
      </c>
      <c r="AE178" s="163">
        <v>212</v>
      </c>
      <c r="AF178" s="163">
        <v>1600</v>
      </c>
      <c r="AG178" s="163">
        <v>186</v>
      </c>
      <c r="AH178" s="163">
        <v>127924000</v>
      </c>
      <c r="AI178" s="163">
        <v>123217000</v>
      </c>
    </row>
    <row r="179" spans="1:35" x14ac:dyDescent="0.2">
      <c r="A179" t="s">
        <v>630</v>
      </c>
      <c r="B179" t="s">
        <v>328</v>
      </c>
      <c r="C179" s="163">
        <v>10953902.93495008</v>
      </c>
      <c r="D179" s="163">
        <v>7460554.9349500798</v>
      </c>
      <c r="E179" s="163">
        <v>2687655</v>
      </c>
      <c r="F179" s="163">
        <v>1086180.62058649</v>
      </c>
      <c r="G179" s="163">
        <v>958674.62058649003</v>
      </c>
      <c r="H179" s="163">
        <v>127506</v>
      </c>
      <c r="I179" s="163">
        <v>1262257.0749685899</v>
      </c>
      <c r="J179" s="163">
        <v>1262257.0749685899</v>
      </c>
      <c r="K179" s="163">
        <v>0</v>
      </c>
      <c r="L179" s="163">
        <v>339217.68400254898</v>
      </c>
      <c r="M179" s="163">
        <v>22799</v>
      </c>
      <c r="N179" s="163">
        <v>8376</v>
      </c>
      <c r="O179" s="163">
        <v>11781</v>
      </c>
      <c r="P179" s="163">
        <v>296262</v>
      </c>
      <c r="Q179" s="163">
        <v>726839</v>
      </c>
      <c r="R179" s="163">
        <v>78854</v>
      </c>
      <c r="S179" s="163">
        <v>1484670</v>
      </c>
      <c r="T179" s="163">
        <v>4595</v>
      </c>
      <c r="U179" s="163">
        <v>0</v>
      </c>
      <c r="V179" s="163">
        <v>3293</v>
      </c>
      <c r="W179" s="163">
        <v>953</v>
      </c>
      <c r="X179" s="163">
        <v>0</v>
      </c>
      <c r="Y179" s="163">
        <v>860</v>
      </c>
      <c r="Z179" s="163">
        <v>0</v>
      </c>
      <c r="AA179" s="163">
        <v>74</v>
      </c>
      <c r="AB179" s="163">
        <v>1066</v>
      </c>
      <c r="AC179" s="163">
        <v>1167</v>
      </c>
      <c r="AD179" s="163">
        <v>179</v>
      </c>
      <c r="AE179" s="163">
        <v>153</v>
      </c>
      <c r="AF179" s="163">
        <v>436</v>
      </c>
      <c r="AG179" s="163">
        <v>142</v>
      </c>
      <c r="AH179" s="163">
        <v>22584000</v>
      </c>
      <c r="AI179" s="163">
        <v>23596000</v>
      </c>
    </row>
    <row r="180" spans="1:35" x14ac:dyDescent="0.2">
      <c r="A180" t="s">
        <v>637</v>
      </c>
      <c r="B180" t="s">
        <v>166</v>
      </c>
      <c r="C180" s="163">
        <v>32571001.485893261</v>
      </c>
      <c r="D180" s="163">
        <v>18295672.485893261</v>
      </c>
      <c r="E180" s="163">
        <v>12276627</v>
      </c>
      <c r="F180" s="163">
        <v>5394401.4487343803</v>
      </c>
      <c r="G180" s="163">
        <v>4094737.4487343803</v>
      </c>
      <c r="H180" s="163">
        <v>1299664</v>
      </c>
      <c r="I180" s="163">
        <v>2957752.3621833199</v>
      </c>
      <c r="J180" s="163">
        <v>2957752.3621833199</v>
      </c>
      <c r="K180" s="163">
        <v>0</v>
      </c>
      <c r="L180" s="163">
        <v>3924472.7266952698</v>
      </c>
      <c r="M180" s="163">
        <v>540682</v>
      </c>
      <c r="N180" s="163">
        <v>60026</v>
      </c>
      <c r="O180" s="163">
        <v>80996</v>
      </c>
      <c r="P180" s="163">
        <v>3242769</v>
      </c>
      <c r="Q180" s="163">
        <v>1766129</v>
      </c>
      <c r="R180" s="163">
        <v>232573</v>
      </c>
      <c r="S180" s="163">
        <v>5441769</v>
      </c>
      <c r="T180" s="163">
        <v>13458</v>
      </c>
      <c r="U180" s="163">
        <v>50000</v>
      </c>
      <c r="V180" s="163">
        <v>2685</v>
      </c>
      <c r="W180" s="163">
        <v>1113</v>
      </c>
      <c r="X180" s="163">
        <v>0</v>
      </c>
      <c r="Y180" s="163">
        <v>0</v>
      </c>
      <c r="Z180" s="163">
        <v>0</v>
      </c>
      <c r="AA180" s="163">
        <v>5</v>
      </c>
      <c r="AB180" s="163">
        <v>2090</v>
      </c>
      <c r="AC180" s="163">
        <v>2135</v>
      </c>
      <c r="AD180" s="163">
        <v>310</v>
      </c>
      <c r="AE180" s="163">
        <v>183</v>
      </c>
      <c r="AF180" s="163">
        <v>526</v>
      </c>
      <c r="AG180" s="163">
        <v>75</v>
      </c>
      <c r="AH180" s="163">
        <v>51832000</v>
      </c>
      <c r="AI180" s="163">
        <v>51756000</v>
      </c>
    </row>
    <row r="181" spans="1:35" x14ac:dyDescent="0.2">
      <c r="A181" t="s">
        <v>633</v>
      </c>
      <c r="B181" t="s">
        <v>370</v>
      </c>
      <c r="C181" s="163">
        <v>32107674.708534889</v>
      </c>
      <c r="D181" s="163">
        <v>19257132.708534889</v>
      </c>
      <c r="E181" s="163">
        <v>10803647</v>
      </c>
      <c r="F181" s="163">
        <v>5354182.2960008504</v>
      </c>
      <c r="G181" s="163">
        <v>4669968.2960008504</v>
      </c>
      <c r="H181" s="163">
        <v>684214</v>
      </c>
      <c r="I181" s="163">
        <v>3047851.5209581801</v>
      </c>
      <c r="J181" s="163">
        <v>3047851.5209581801</v>
      </c>
      <c r="K181" s="163">
        <v>0</v>
      </c>
      <c r="L181" s="163">
        <v>2401613.15631023</v>
      </c>
      <c r="M181" s="163">
        <v>343303</v>
      </c>
      <c r="N181" s="163">
        <v>40482</v>
      </c>
      <c r="O181" s="163">
        <v>88359</v>
      </c>
      <c r="P181" s="163">
        <v>1929468</v>
      </c>
      <c r="Q181" s="163">
        <v>1757691</v>
      </c>
      <c r="R181" s="163">
        <v>289204</v>
      </c>
      <c r="S181" s="163">
        <v>4737274</v>
      </c>
      <c r="T181" s="163">
        <v>1506</v>
      </c>
      <c r="U181" s="163">
        <v>767000</v>
      </c>
      <c r="V181" s="163">
        <v>2870</v>
      </c>
      <c r="W181" s="163">
        <v>1862</v>
      </c>
      <c r="X181" s="163">
        <v>509</v>
      </c>
      <c r="Y181" s="163">
        <v>209</v>
      </c>
      <c r="Z181" s="163">
        <v>0</v>
      </c>
      <c r="AA181" s="163">
        <v>126</v>
      </c>
      <c r="AB181" s="163">
        <v>2898</v>
      </c>
      <c r="AC181" s="163">
        <v>1970</v>
      </c>
      <c r="AD181" s="163">
        <v>385</v>
      </c>
      <c r="AE181" s="163">
        <v>377</v>
      </c>
      <c r="AF181" s="163">
        <v>484</v>
      </c>
      <c r="AG181" s="163">
        <v>81</v>
      </c>
      <c r="AH181" s="163">
        <v>57844000</v>
      </c>
      <c r="AI181" s="163">
        <v>56006000</v>
      </c>
    </row>
    <row r="182" spans="1:35" x14ac:dyDescent="0.2">
      <c r="A182" t="s">
        <v>632</v>
      </c>
      <c r="B182" t="s">
        <v>187</v>
      </c>
      <c r="C182" s="163">
        <v>301640118.96677613</v>
      </c>
      <c r="D182" s="163">
        <v>139098590.96677613</v>
      </c>
      <c r="E182" s="163">
        <v>126418735</v>
      </c>
      <c r="F182" s="163">
        <v>32738852.087831505</v>
      </c>
      <c r="G182" s="163">
        <v>27402684.407831505</v>
      </c>
      <c r="H182" s="163">
        <v>5336167.68</v>
      </c>
      <c r="I182" s="163">
        <v>70361755.249070406</v>
      </c>
      <c r="J182" s="163">
        <v>17291896.235462502</v>
      </c>
      <c r="K182" s="163">
        <v>53069859.013607904</v>
      </c>
      <c r="L182" s="163">
        <v>22795823.320318457</v>
      </c>
      <c r="M182" s="163">
        <v>8950223.6400000006</v>
      </c>
      <c r="N182" s="163">
        <v>400525.32</v>
      </c>
      <c r="O182" s="163">
        <v>572626.04</v>
      </c>
      <c r="P182" s="163">
        <v>12872449.039999999</v>
      </c>
      <c r="Q182" s="163">
        <v>10106567</v>
      </c>
      <c r="R182" s="163">
        <v>26016226</v>
      </c>
      <c r="S182" s="163">
        <v>72520802</v>
      </c>
      <c r="T182" s="163">
        <v>53792</v>
      </c>
      <c r="U182" s="163">
        <v>1359000</v>
      </c>
      <c r="V182" s="163">
        <v>14781</v>
      </c>
      <c r="W182" s="163">
        <v>15885</v>
      </c>
      <c r="X182" s="163">
        <v>3977</v>
      </c>
      <c r="Y182" s="163">
        <v>358</v>
      </c>
      <c r="Z182" s="163">
        <v>350</v>
      </c>
      <c r="AA182" s="163">
        <v>541</v>
      </c>
      <c r="AB182" s="163">
        <v>11354</v>
      </c>
      <c r="AC182" s="163">
        <v>12620</v>
      </c>
      <c r="AD182" s="163">
        <v>2392</v>
      </c>
      <c r="AE182" s="163">
        <v>797</v>
      </c>
      <c r="AF182" s="163">
        <v>2835</v>
      </c>
      <c r="AG182" s="163">
        <v>823</v>
      </c>
      <c r="AH182" s="163">
        <v>480386000</v>
      </c>
      <c r="AI182" s="163">
        <v>477901000</v>
      </c>
    </row>
    <row r="183" spans="1:35" x14ac:dyDescent="0.2">
      <c r="A183" t="s">
        <v>633</v>
      </c>
      <c r="B183" t="s">
        <v>371</v>
      </c>
      <c r="C183" s="163">
        <v>243551883.77567321</v>
      </c>
      <c r="D183" s="163">
        <v>134584925.77567321</v>
      </c>
      <c r="E183" s="163">
        <v>88454340</v>
      </c>
      <c r="F183" s="163">
        <v>20757963.015893999</v>
      </c>
      <c r="G183" s="163">
        <v>18820234.015893999</v>
      </c>
      <c r="H183" s="163">
        <v>1937729</v>
      </c>
      <c r="I183" s="163">
        <v>42933847.1967315</v>
      </c>
      <c r="J183" s="163">
        <v>12232053.847543277</v>
      </c>
      <c r="K183" s="163">
        <v>30701793.349188223</v>
      </c>
      <c r="L183" s="163">
        <v>24762529.8021928</v>
      </c>
      <c r="M183" s="163">
        <v>3821500</v>
      </c>
      <c r="N183" s="163">
        <v>365738</v>
      </c>
      <c r="O183" s="163">
        <v>745162</v>
      </c>
      <c r="P183" s="163">
        <v>19830130</v>
      </c>
      <c r="Q183" s="163">
        <v>7165577</v>
      </c>
      <c r="R183" s="163">
        <v>13347041</v>
      </c>
      <c r="S183" s="163">
        <v>45521867</v>
      </c>
      <c r="T183" s="163">
        <v>24865</v>
      </c>
      <c r="U183" s="163">
        <v>3200000</v>
      </c>
      <c r="V183" s="163">
        <v>20967</v>
      </c>
      <c r="W183" s="163">
        <v>27022</v>
      </c>
      <c r="X183" s="163">
        <v>13279</v>
      </c>
      <c r="Y183" s="163">
        <v>8250</v>
      </c>
      <c r="Z183" s="163">
        <v>777</v>
      </c>
      <c r="AA183" s="163">
        <v>0</v>
      </c>
      <c r="AB183" s="163">
        <v>6338</v>
      </c>
      <c r="AC183" s="163">
        <v>12051</v>
      </c>
      <c r="AD183" s="163">
        <v>2188</v>
      </c>
      <c r="AE183" s="163">
        <v>0</v>
      </c>
      <c r="AF183" s="163">
        <v>4050</v>
      </c>
      <c r="AG183" s="163">
        <v>1200</v>
      </c>
      <c r="AH183" s="163">
        <v>455576000</v>
      </c>
      <c r="AI183" s="163">
        <v>481623000</v>
      </c>
    </row>
    <row r="184" spans="1:35" x14ac:dyDescent="0.2">
      <c r="A184" t="s">
        <v>633</v>
      </c>
      <c r="B184" t="s">
        <v>372</v>
      </c>
      <c r="C184" s="163">
        <v>31623540.568672519</v>
      </c>
      <c r="D184" s="163">
        <v>21847229.568672519</v>
      </c>
      <c r="E184" s="163">
        <v>7635981</v>
      </c>
      <c r="F184" s="163">
        <v>4441139.1114460202</v>
      </c>
      <c r="G184" s="163">
        <v>4055409.1114460202</v>
      </c>
      <c r="H184" s="163">
        <v>385730</v>
      </c>
      <c r="I184" s="163">
        <v>2822256.9902686002</v>
      </c>
      <c r="J184" s="163">
        <v>2822256.9902686002</v>
      </c>
      <c r="K184" s="163">
        <v>0</v>
      </c>
      <c r="L184" s="163">
        <v>372585.19008734502</v>
      </c>
      <c r="M184" s="163">
        <v>225765</v>
      </c>
      <c r="N184" s="163">
        <v>34899</v>
      </c>
      <c r="O184" s="163">
        <v>111922</v>
      </c>
      <c r="P184" s="163">
        <v>0</v>
      </c>
      <c r="Q184" s="163">
        <v>1966768</v>
      </c>
      <c r="R184" s="163">
        <v>173562</v>
      </c>
      <c r="S184" s="163">
        <v>5076071</v>
      </c>
      <c r="T184" s="163">
        <v>3496</v>
      </c>
      <c r="U184" s="163">
        <v>57000</v>
      </c>
      <c r="V184" s="163">
        <v>4938</v>
      </c>
      <c r="W184" s="163">
        <v>2109</v>
      </c>
      <c r="X184" s="163">
        <v>22</v>
      </c>
      <c r="Y184" s="163">
        <v>594</v>
      </c>
      <c r="Z184" s="163">
        <v>52</v>
      </c>
      <c r="AA184" s="163">
        <v>100</v>
      </c>
      <c r="AB184" s="163">
        <v>1522</v>
      </c>
      <c r="AC184" s="163">
        <v>3621</v>
      </c>
      <c r="AD184" s="163">
        <v>482</v>
      </c>
      <c r="AE184" s="163">
        <v>403</v>
      </c>
      <c r="AF184" s="163">
        <v>477</v>
      </c>
      <c r="AG184" s="163">
        <v>62</v>
      </c>
      <c r="AH184" s="163">
        <v>72743000</v>
      </c>
      <c r="AI184" s="163">
        <v>70067000</v>
      </c>
    </row>
    <row r="185" spans="1:35" x14ac:dyDescent="0.2">
      <c r="A185" t="s">
        <v>633</v>
      </c>
      <c r="B185" t="s">
        <v>373</v>
      </c>
      <c r="C185" s="163">
        <v>100584389.72479282</v>
      </c>
      <c r="D185" s="163">
        <v>67588038.724792823</v>
      </c>
      <c r="E185" s="163">
        <v>26321064</v>
      </c>
      <c r="F185" s="163">
        <v>12265210.666537</v>
      </c>
      <c r="G185" s="163">
        <v>10614382.666537</v>
      </c>
      <c r="H185" s="163">
        <v>1650828</v>
      </c>
      <c r="I185" s="163">
        <v>8237235.4462341303</v>
      </c>
      <c r="J185" s="163">
        <v>8237235.4462341303</v>
      </c>
      <c r="K185" s="163">
        <v>0</v>
      </c>
      <c r="L185" s="163">
        <v>5147374.4961579498</v>
      </c>
      <c r="M185" s="163">
        <v>2059300</v>
      </c>
      <c r="N185" s="163">
        <v>178681</v>
      </c>
      <c r="O185" s="163">
        <v>259187</v>
      </c>
      <c r="P185" s="163">
        <v>2650207</v>
      </c>
      <c r="Q185" s="163">
        <v>6025056</v>
      </c>
      <c r="R185" s="163">
        <v>650231</v>
      </c>
      <c r="S185" s="163">
        <v>22104241</v>
      </c>
      <c r="T185" s="163">
        <v>14839</v>
      </c>
      <c r="U185" s="163">
        <v>695000</v>
      </c>
      <c r="V185" s="163">
        <v>8217</v>
      </c>
      <c r="W185" s="163">
        <v>2710</v>
      </c>
      <c r="X185" s="163">
        <v>228</v>
      </c>
      <c r="Y185" s="163">
        <v>368</v>
      </c>
      <c r="Z185" s="163">
        <v>143</v>
      </c>
      <c r="AA185" s="163">
        <v>388</v>
      </c>
      <c r="AB185" s="163">
        <v>5203</v>
      </c>
      <c r="AC185" s="163">
        <v>10753</v>
      </c>
      <c r="AD185" s="163">
        <v>1523</v>
      </c>
      <c r="AE185" s="163">
        <v>942</v>
      </c>
      <c r="AF185" s="163">
        <v>1424</v>
      </c>
      <c r="AG185" s="163">
        <v>190</v>
      </c>
      <c r="AH185" s="163">
        <v>175412000</v>
      </c>
      <c r="AI185" s="163">
        <v>182669000</v>
      </c>
    </row>
    <row r="186" spans="1:35" x14ac:dyDescent="0.2">
      <c r="A186" t="s">
        <v>635</v>
      </c>
      <c r="B186" t="s">
        <v>513</v>
      </c>
      <c r="C186" s="163">
        <v>144295230.60889071</v>
      </c>
      <c r="D186" s="163">
        <v>91807065.608890712</v>
      </c>
      <c r="E186" s="163">
        <v>45849379</v>
      </c>
      <c r="F186" s="163">
        <v>25410914.918191701</v>
      </c>
      <c r="G186" s="163">
        <v>21860391.918191701</v>
      </c>
      <c r="H186" s="163">
        <v>3550523</v>
      </c>
      <c r="I186" s="163">
        <v>10231281.2617824</v>
      </c>
      <c r="J186" s="163">
        <v>10231281.2617824</v>
      </c>
      <c r="K186" s="163">
        <v>0</v>
      </c>
      <c r="L186" s="163">
        <v>10207183.215473199</v>
      </c>
      <c r="M186" s="163">
        <v>3163245</v>
      </c>
      <c r="N186" s="163">
        <v>214976</v>
      </c>
      <c r="O186" s="163">
        <v>357854</v>
      </c>
      <c r="P186" s="163">
        <v>6471108</v>
      </c>
      <c r="Q186" s="163">
        <v>4886178</v>
      </c>
      <c r="R186" s="163">
        <v>1752608</v>
      </c>
      <c r="S186" s="163">
        <v>33395380</v>
      </c>
      <c r="T186" s="163">
        <v>41367</v>
      </c>
      <c r="U186" s="163">
        <v>2469000</v>
      </c>
      <c r="V186" s="163">
        <v>11059</v>
      </c>
      <c r="W186" s="163">
        <v>10604</v>
      </c>
      <c r="X186" s="163">
        <v>2343</v>
      </c>
      <c r="Y186" s="163">
        <v>1760</v>
      </c>
      <c r="Z186" s="163">
        <v>0</v>
      </c>
      <c r="AA186" s="163">
        <v>591</v>
      </c>
      <c r="AB186" s="163">
        <v>5041</v>
      </c>
      <c r="AC186" s="163">
        <v>8754</v>
      </c>
      <c r="AD186" s="163">
        <v>1455</v>
      </c>
      <c r="AE186" s="163">
        <v>419</v>
      </c>
      <c r="AF186" s="163">
        <v>1201</v>
      </c>
      <c r="AG186" s="163">
        <v>391</v>
      </c>
      <c r="AH186" s="163">
        <v>261139000</v>
      </c>
      <c r="AI186" s="163">
        <v>259101000</v>
      </c>
    </row>
    <row r="187" spans="1:35" x14ac:dyDescent="0.2">
      <c r="A187" t="s">
        <v>638</v>
      </c>
      <c r="B187" t="s">
        <v>490</v>
      </c>
      <c r="C187" s="163">
        <v>46088928.161074884</v>
      </c>
      <c r="D187" s="163">
        <v>28318600.161074884</v>
      </c>
      <c r="E187" s="163">
        <v>14781464</v>
      </c>
      <c r="F187" s="163">
        <v>6602067.6316171298</v>
      </c>
      <c r="G187" s="163">
        <v>4525981.6316171298</v>
      </c>
      <c r="H187" s="163">
        <v>2076086</v>
      </c>
      <c r="I187" s="163">
        <v>4591799.5809776597</v>
      </c>
      <c r="J187" s="163">
        <v>4591799.5809776597</v>
      </c>
      <c r="K187" s="163">
        <v>0</v>
      </c>
      <c r="L187" s="163">
        <v>3243395.6374981198</v>
      </c>
      <c r="M187" s="163">
        <v>198253</v>
      </c>
      <c r="N187" s="163">
        <v>37691</v>
      </c>
      <c r="O187" s="163">
        <v>69215</v>
      </c>
      <c r="P187" s="163">
        <v>2938237</v>
      </c>
      <c r="Q187" s="163">
        <v>2678603</v>
      </c>
      <c r="R187" s="163">
        <v>310261</v>
      </c>
      <c r="S187" s="163">
        <v>5158843</v>
      </c>
      <c r="T187" s="163">
        <v>16916</v>
      </c>
      <c r="U187" s="163">
        <v>52000</v>
      </c>
      <c r="V187" s="163">
        <v>3902</v>
      </c>
      <c r="W187" s="163">
        <v>1936</v>
      </c>
      <c r="X187" s="163">
        <v>0</v>
      </c>
      <c r="Y187" s="163">
        <v>0</v>
      </c>
      <c r="Z187" s="163">
        <v>840</v>
      </c>
      <c r="AA187" s="163">
        <v>253</v>
      </c>
      <c r="AB187" s="163">
        <v>4793</v>
      </c>
      <c r="AC187" s="163">
        <v>2410</v>
      </c>
      <c r="AD187" s="163">
        <v>509</v>
      </c>
      <c r="AE187" s="163">
        <v>7</v>
      </c>
      <c r="AF187" s="163">
        <v>743</v>
      </c>
      <c r="AG187" s="163">
        <v>23</v>
      </c>
      <c r="AH187" s="163">
        <v>71762000</v>
      </c>
      <c r="AI187" s="163">
        <v>75021000</v>
      </c>
    </row>
    <row r="188" spans="1:35" x14ac:dyDescent="0.2">
      <c r="A188" t="s">
        <v>636</v>
      </c>
      <c r="B188" t="s">
        <v>285</v>
      </c>
      <c r="C188" s="163">
        <v>31235805.370384082</v>
      </c>
      <c r="D188" s="163">
        <v>20020333.370384082</v>
      </c>
      <c r="E188" s="163">
        <v>9287287</v>
      </c>
      <c r="F188" s="163">
        <v>4813789.6601852896</v>
      </c>
      <c r="G188" s="163">
        <v>4015093.6601852896</v>
      </c>
      <c r="H188" s="163">
        <v>798696</v>
      </c>
      <c r="I188" s="163">
        <v>2775621.9249301902</v>
      </c>
      <c r="J188" s="163">
        <v>2775621.9249301902</v>
      </c>
      <c r="K188" s="163">
        <v>0</v>
      </c>
      <c r="L188" s="163">
        <v>1697875.84922398</v>
      </c>
      <c r="M188" s="163">
        <v>72068</v>
      </c>
      <c r="N188" s="163">
        <v>20939</v>
      </c>
      <c r="O188" s="163">
        <v>33871</v>
      </c>
      <c r="P188" s="163">
        <v>1570998</v>
      </c>
      <c r="Q188" s="163">
        <v>1696008</v>
      </c>
      <c r="R188" s="163">
        <v>232177</v>
      </c>
      <c r="S188" s="163">
        <v>4157332</v>
      </c>
      <c r="T188" s="163">
        <v>2774</v>
      </c>
      <c r="U188" s="163">
        <v>60000</v>
      </c>
      <c r="V188" s="163">
        <v>4041</v>
      </c>
      <c r="W188" s="163">
        <v>2520</v>
      </c>
      <c r="X188" s="163">
        <v>10</v>
      </c>
      <c r="Y188" s="163">
        <v>21</v>
      </c>
      <c r="Z188" s="163">
        <v>159</v>
      </c>
      <c r="AA188" s="163">
        <v>192</v>
      </c>
      <c r="AB188" s="163">
        <v>1479</v>
      </c>
      <c r="AC188" s="163">
        <v>2467</v>
      </c>
      <c r="AD188" s="163">
        <v>501</v>
      </c>
      <c r="AE188" s="163">
        <v>35</v>
      </c>
      <c r="AF188" s="163">
        <v>407</v>
      </c>
      <c r="AG188" s="163">
        <v>120</v>
      </c>
      <c r="AH188" s="163">
        <v>51018000</v>
      </c>
      <c r="AI188" s="163">
        <v>52066000</v>
      </c>
    </row>
    <row r="189" spans="1:35" x14ac:dyDescent="0.2">
      <c r="A189" t="s">
        <v>631</v>
      </c>
      <c r="B189" t="s">
        <v>246</v>
      </c>
      <c r="C189" s="163">
        <v>13498936.945303597</v>
      </c>
      <c r="D189" s="163">
        <v>9384865.9453035966</v>
      </c>
      <c r="E189" s="163">
        <v>3321145</v>
      </c>
      <c r="F189" s="163">
        <v>1580718.70258934</v>
      </c>
      <c r="G189" s="163">
        <v>1451231.70258934</v>
      </c>
      <c r="H189" s="163">
        <v>129487</v>
      </c>
      <c r="I189" s="163">
        <v>1243358.4519508299</v>
      </c>
      <c r="J189" s="163">
        <v>1243358.4519508299</v>
      </c>
      <c r="K189" s="163">
        <v>0</v>
      </c>
      <c r="L189" s="163">
        <v>497067.972588673</v>
      </c>
      <c r="M189" s="163">
        <v>28019</v>
      </c>
      <c r="N189" s="163">
        <v>19543</v>
      </c>
      <c r="O189" s="163">
        <v>33871</v>
      </c>
      <c r="P189" s="163">
        <v>415635</v>
      </c>
      <c r="Q189" s="163">
        <v>688789</v>
      </c>
      <c r="R189" s="163">
        <v>104137</v>
      </c>
      <c r="S189" s="163">
        <v>1514202</v>
      </c>
      <c r="T189" s="163">
        <v>521</v>
      </c>
      <c r="U189" s="163">
        <v>0</v>
      </c>
      <c r="V189" s="163">
        <v>1371</v>
      </c>
      <c r="W189" s="163">
        <v>749</v>
      </c>
      <c r="X189" s="163">
        <v>0</v>
      </c>
      <c r="Y189" s="163">
        <v>245</v>
      </c>
      <c r="Z189" s="163">
        <v>50</v>
      </c>
      <c r="AA189" s="163">
        <v>0</v>
      </c>
      <c r="AB189" s="163">
        <v>1443</v>
      </c>
      <c r="AC189" s="163">
        <v>0</v>
      </c>
      <c r="AD189" s="163">
        <v>180</v>
      </c>
      <c r="AE189" s="163">
        <v>150</v>
      </c>
      <c r="AF189" s="163">
        <v>254</v>
      </c>
      <c r="AG189" s="163">
        <v>17</v>
      </c>
      <c r="AH189" s="163">
        <v>23565000</v>
      </c>
      <c r="AI189" s="163">
        <v>23729000</v>
      </c>
    </row>
    <row r="190" spans="1:35" x14ac:dyDescent="0.2">
      <c r="A190" t="s">
        <v>631</v>
      </c>
      <c r="B190" t="s">
        <v>247</v>
      </c>
      <c r="C190" s="163">
        <v>56007785.610136025</v>
      </c>
      <c r="D190" s="163">
        <v>33460925.610136025</v>
      </c>
      <c r="E190" s="163">
        <v>18869975</v>
      </c>
      <c r="F190" s="163">
        <v>8517962.1806248501</v>
      </c>
      <c r="G190" s="163">
        <v>7626371.1806248501</v>
      </c>
      <c r="H190" s="163">
        <v>891591</v>
      </c>
      <c r="I190" s="163">
        <v>5765932.8469244903</v>
      </c>
      <c r="J190" s="163">
        <v>5765932.8469244903</v>
      </c>
      <c r="K190" s="163">
        <v>0</v>
      </c>
      <c r="L190" s="163">
        <v>4586079.8977838997</v>
      </c>
      <c r="M190" s="163">
        <v>114400</v>
      </c>
      <c r="N190" s="163">
        <v>72589</v>
      </c>
      <c r="O190" s="163">
        <v>131066</v>
      </c>
      <c r="P190" s="163">
        <v>4268025</v>
      </c>
      <c r="Q190" s="163">
        <v>3278660</v>
      </c>
      <c r="R190" s="163">
        <v>398225</v>
      </c>
      <c r="S190" s="163">
        <v>7965278</v>
      </c>
      <c r="T190" s="163">
        <v>5447</v>
      </c>
      <c r="U190" s="163">
        <v>58000</v>
      </c>
      <c r="V190" s="163">
        <v>8439</v>
      </c>
      <c r="W190" s="163">
        <v>2939</v>
      </c>
      <c r="X190" s="163">
        <v>0</v>
      </c>
      <c r="Y190" s="163">
        <v>4063</v>
      </c>
      <c r="Z190" s="163">
        <v>93</v>
      </c>
      <c r="AA190" s="163">
        <v>291</v>
      </c>
      <c r="AB190" s="163">
        <v>5000</v>
      </c>
      <c r="AC190" s="163">
        <v>3274</v>
      </c>
      <c r="AD190" s="163">
        <v>708</v>
      </c>
      <c r="AE190" s="163">
        <v>200</v>
      </c>
      <c r="AF190" s="163">
        <v>848</v>
      </c>
      <c r="AG190" s="163">
        <v>187</v>
      </c>
      <c r="AH190" s="163">
        <v>93931000</v>
      </c>
      <c r="AI190" s="163">
        <v>96651000</v>
      </c>
    </row>
    <row r="191" spans="1:35" x14ac:dyDescent="0.2">
      <c r="A191" t="s">
        <v>630</v>
      </c>
      <c r="B191" t="s">
        <v>374</v>
      </c>
      <c r="C191" s="163">
        <v>26778109.09372953</v>
      </c>
      <c r="D191" s="163">
        <v>17185495.09372953</v>
      </c>
      <c r="E191" s="163">
        <v>7723390</v>
      </c>
      <c r="F191" s="163">
        <v>3408696.2223139899</v>
      </c>
      <c r="G191" s="163">
        <v>2906720.2223139899</v>
      </c>
      <c r="H191" s="163">
        <v>501976</v>
      </c>
      <c r="I191" s="163">
        <v>2541249.2640838702</v>
      </c>
      <c r="J191" s="163">
        <v>2541249.2640838702</v>
      </c>
      <c r="K191" s="163">
        <v>0</v>
      </c>
      <c r="L191" s="163">
        <v>1773444.3504466801</v>
      </c>
      <c r="M191" s="163">
        <v>55655</v>
      </c>
      <c r="N191" s="163">
        <v>30711</v>
      </c>
      <c r="O191" s="163">
        <v>73633</v>
      </c>
      <c r="P191" s="163">
        <v>1613446</v>
      </c>
      <c r="Q191" s="163">
        <v>1695029</v>
      </c>
      <c r="R191" s="163">
        <v>174195</v>
      </c>
      <c r="S191" s="163">
        <v>3417761</v>
      </c>
      <c r="T191" s="163">
        <v>1686</v>
      </c>
      <c r="U191" s="163">
        <v>0</v>
      </c>
      <c r="V191" s="163">
        <v>2371</v>
      </c>
      <c r="W191" s="163">
        <v>1816</v>
      </c>
      <c r="X191" s="163">
        <v>4</v>
      </c>
      <c r="Y191" s="163">
        <v>2083</v>
      </c>
      <c r="Z191" s="163">
        <v>100</v>
      </c>
      <c r="AA191" s="163">
        <v>109</v>
      </c>
      <c r="AB191" s="163">
        <v>2790</v>
      </c>
      <c r="AC191" s="163">
        <v>2794</v>
      </c>
      <c r="AD191" s="163">
        <v>429</v>
      </c>
      <c r="AE191" s="163">
        <v>0</v>
      </c>
      <c r="AF191" s="163">
        <v>756</v>
      </c>
      <c r="AG191" s="163">
        <v>15</v>
      </c>
      <c r="AH191" s="163">
        <v>44388000</v>
      </c>
      <c r="AI191" s="163">
        <v>49594000</v>
      </c>
    </row>
    <row r="192" spans="1:35" x14ac:dyDescent="0.2">
      <c r="A192" t="s">
        <v>631</v>
      </c>
      <c r="B192" t="s">
        <v>248</v>
      </c>
      <c r="C192" s="163">
        <v>45026877.775100105</v>
      </c>
      <c r="D192" s="163">
        <v>27667340.775100105</v>
      </c>
      <c r="E192" s="163">
        <v>14293578</v>
      </c>
      <c r="F192" s="163">
        <v>7091067.4565092297</v>
      </c>
      <c r="G192" s="163">
        <v>4291091.4565092297</v>
      </c>
      <c r="H192" s="163">
        <v>2799976</v>
      </c>
      <c r="I192" s="163">
        <v>4329678.2639732799</v>
      </c>
      <c r="J192" s="163">
        <v>4329678.2639732799</v>
      </c>
      <c r="K192" s="163">
        <v>0</v>
      </c>
      <c r="L192" s="163">
        <v>2872832.1854818501</v>
      </c>
      <c r="M192" s="163">
        <v>378234</v>
      </c>
      <c r="N192" s="163">
        <v>46066</v>
      </c>
      <c r="O192" s="163">
        <v>91304</v>
      </c>
      <c r="P192" s="163">
        <v>2357228</v>
      </c>
      <c r="Q192" s="163">
        <v>2771300</v>
      </c>
      <c r="R192" s="163">
        <v>294659</v>
      </c>
      <c r="S192" s="163">
        <v>6273099</v>
      </c>
      <c r="T192" s="163">
        <v>4747</v>
      </c>
      <c r="U192" s="163">
        <v>237000</v>
      </c>
      <c r="V192" s="163">
        <v>3748</v>
      </c>
      <c r="W192" s="163">
        <v>1448</v>
      </c>
      <c r="X192" s="163">
        <v>15</v>
      </c>
      <c r="Y192" s="163">
        <v>0</v>
      </c>
      <c r="Z192" s="163">
        <v>421</v>
      </c>
      <c r="AA192" s="163">
        <v>161</v>
      </c>
      <c r="AB192" s="163">
        <v>5073</v>
      </c>
      <c r="AC192" s="163">
        <v>2722</v>
      </c>
      <c r="AD192" s="163">
        <v>546</v>
      </c>
      <c r="AE192" s="163">
        <v>328</v>
      </c>
      <c r="AF192" s="163">
        <v>742</v>
      </c>
      <c r="AG192" s="163">
        <v>235</v>
      </c>
      <c r="AH192" s="163">
        <v>66306000</v>
      </c>
      <c r="AI192" s="163">
        <v>66486000</v>
      </c>
    </row>
    <row r="193" spans="1:35" x14ac:dyDescent="0.2">
      <c r="A193" t="s">
        <v>629</v>
      </c>
      <c r="B193" t="s">
        <v>451</v>
      </c>
      <c r="C193" s="163">
        <v>28827847.190563448</v>
      </c>
      <c r="D193" s="163">
        <v>16625208.190563448</v>
      </c>
      <c r="E193" s="163">
        <v>10130146</v>
      </c>
      <c r="F193" s="163">
        <v>4020912.7092149402</v>
      </c>
      <c r="G193" s="163">
        <v>3604480.7092149402</v>
      </c>
      <c r="H193" s="163">
        <v>416432</v>
      </c>
      <c r="I193" s="163">
        <v>3121949.4784726002</v>
      </c>
      <c r="J193" s="163">
        <v>3121949.4784726002</v>
      </c>
      <c r="K193" s="163">
        <v>0</v>
      </c>
      <c r="L193" s="163">
        <v>2987283.4606066202</v>
      </c>
      <c r="M193" s="163">
        <v>84785</v>
      </c>
      <c r="N193" s="163">
        <v>13959</v>
      </c>
      <c r="O193" s="163">
        <v>72160</v>
      </c>
      <c r="P193" s="163">
        <v>2816379</v>
      </c>
      <c r="Q193" s="163">
        <v>1885950</v>
      </c>
      <c r="R193" s="163">
        <v>186543</v>
      </c>
      <c r="S193" s="163">
        <v>3696672</v>
      </c>
      <c r="T193" s="163">
        <v>7906</v>
      </c>
      <c r="U193" s="163">
        <v>211000</v>
      </c>
      <c r="V193" s="163">
        <v>3288</v>
      </c>
      <c r="W193" s="163">
        <v>1801</v>
      </c>
      <c r="X193" s="163">
        <v>0</v>
      </c>
      <c r="Y193" s="163">
        <v>0</v>
      </c>
      <c r="Z193" s="163">
        <v>930</v>
      </c>
      <c r="AA193" s="163">
        <v>250</v>
      </c>
      <c r="AB193" s="163">
        <v>2609</v>
      </c>
      <c r="AC193" s="163">
        <v>2085</v>
      </c>
      <c r="AD193" s="163">
        <v>471</v>
      </c>
      <c r="AE193" s="163">
        <v>0</v>
      </c>
      <c r="AF193" s="163">
        <v>327</v>
      </c>
      <c r="AG193" s="163">
        <v>81</v>
      </c>
      <c r="AH193" s="163">
        <v>46645000</v>
      </c>
      <c r="AI193" s="163">
        <v>45997000</v>
      </c>
    </row>
    <row r="194" spans="1:35" x14ac:dyDescent="0.2">
      <c r="A194" t="s">
        <v>631</v>
      </c>
      <c r="B194" t="s">
        <v>286</v>
      </c>
      <c r="C194" s="163">
        <v>16455020.322966576</v>
      </c>
      <c r="D194" s="163">
        <v>11209002.322966576</v>
      </c>
      <c r="E194" s="163">
        <v>4392543</v>
      </c>
      <c r="F194" s="163">
        <v>2315428.4576229299</v>
      </c>
      <c r="G194" s="163">
        <v>1979339.4576229299</v>
      </c>
      <c r="H194" s="163">
        <v>336089</v>
      </c>
      <c r="I194" s="163">
        <v>1352921.8698477</v>
      </c>
      <c r="J194" s="163">
        <v>1352921.8698477</v>
      </c>
      <c r="K194" s="163">
        <v>0</v>
      </c>
      <c r="L194" s="163">
        <v>724192.29081150598</v>
      </c>
      <c r="M194" s="163">
        <v>36489</v>
      </c>
      <c r="N194" s="163">
        <v>18147</v>
      </c>
      <c r="O194" s="163">
        <v>27980</v>
      </c>
      <c r="P194" s="163">
        <v>641575</v>
      </c>
      <c r="Q194" s="163">
        <v>716610</v>
      </c>
      <c r="R194" s="163">
        <v>136865</v>
      </c>
      <c r="S194" s="163">
        <v>1565406</v>
      </c>
      <c r="T194" s="163">
        <v>1556</v>
      </c>
      <c r="U194" s="163">
        <v>66000</v>
      </c>
      <c r="V194" s="163">
        <v>1990</v>
      </c>
      <c r="W194" s="163">
        <v>646</v>
      </c>
      <c r="X194" s="163">
        <v>0</v>
      </c>
      <c r="Y194" s="163">
        <v>18</v>
      </c>
      <c r="Z194" s="163">
        <v>28</v>
      </c>
      <c r="AA194" s="163">
        <v>61</v>
      </c>
      <c r="AB194" s="163">
        <v>1256</v>
      </c>
      <c r="AC194" s="163">
        <v>985</v>
      </c>
      <c r="AD194" s="163">
        <v>195</v>
      </c>
      <c r="AE194" s="163">
        <v>75</v>
      </c>
      <c r="AF194" s="163">
        <v>450</v>
      </c>
      <c r="AG194" s="163">
        <v>115</v>
      </c>
      <c r="AH194" s="163">
        <v>24688000</v>
      </c>
      <c r="AI194" s="163">
        <v>24462000</v>
      </c>
    </row>
    <row r="195" spans="1:35" x14ac:dyDescent="0.2">
      <c r="A195" t="s">
        <v>637</v>
      </c>
      <c r="B195" t="s">
        <v>167</v>
      </c>
      <c r="C195" s="163">
        <v>16639741.730509641</v>
      </c>
      <c r="D195" s="163">
        <v>9919274.7305096406</v>
      </c>
      <c r="E195" s="163">
        <v>5550698</v>
      </c>
      <c r="F195" s="163">
        <v>2447763.0483509698</v>
      </c>
      <c r="G195" s="163">
        <v>1953107.0483509698</v>
      </c>
      <c r="H195" s="163">
        <v>494656</v>
      </c>
      <c r="I195" s="163">
        <v>1659723.14346744</v>
      </c>
      <c r="J195" s="163">
        <v>1659723.14346744</v>
      </c>
      <c r="K195" s="163">
        <v>0</v>
      </c>
      <c r="L195" s="163">
        <v>1443211.41215355</v>
      </c>
      <c r="M195" s="163">
        <v>332947</v>
      </c>
      <c r="N195" s="163">
        <v>34899</v>
      </c>
      <c r="O195" s="163">
        <v>72160</v>
      </c>
      <c r="P195" s="163">
        <v>1003205</v>
      </c>
      <c r="Q195" s="163">
        <v>861103</v>
      </c>
      <c r="R195" s="163">
        <v>308666</v>
      </c>
      <c r="S195" s="163">
        <v>3048611</v>
      </c>
      <c r="T195" s="163">
        <v>1862</v>
      </c>
      <c r="U195" s="163">
        <v>49000</v>
      </c>
      <c r="V195" s="163">
        <v>1175</v>
      </c>
      <c r="W195" s="163">
        <v>589</v>
      </c>
      <c r="X195" s="163">
        <v>0</v>
      </c>
      <c r="Y195" s="163">
        <v>0</v>
      </c>
      <c r="Z195" s="163">
        <v>0</v>
      </c>
      <c r="AA195" s="163">
        <v>113</v>
      </c>
      <c r="AB195" s="163">
        <v>1505</v>
      </c>
      <c r="AC195" s="163">
        <v>1083</v>
      </c>
      <c r="AD195" s="163">
        <v>160</v>
      </c>
      <c r="AE195" s="163">
        <v>71</v>
      </c>
      <c r="AF195" s="163">
        <v>709</v>
      </c>
      <c r="AG195" s="163">
        <v>16</v>
      </c>
      <c r="AH195" s="163">
        <v>28351000</v>
      </c>
      <c r="AI195" s="163">
        <v>28524000</v>
      </c>
    </row>
    <row r="196" spans="1:35" x14ac:dyDescent="0.2">
      <c r="A196" t="s">
        <v>634</v>
      </c>
      <c r="B196" t="s">
        <v>210</v>
      </c>
      <c r="C196" s="163">
        <v>32024092.200295754</v>
      </c>
      <c r="D196" s="163">
        <v>18063485.200295754</v>
      </c>
      <c r="E196" s="163">
        <v>11712074</v>
      </c>
      <c r="F196" s="163">
        <v>4391336.1504019899</v>
      </c>
      <c r="G196" s="163">
        <v>4004124.1504019899</v>
      </c>
      <c r="H196" s="163">
        <v>387212</v>
      </c>
      <c r="I196" s="163">
        <v>3394370.8120314502</v>
      </c>
      <c r="J196" s="163">
        <v>3394370.8120314502</v>
      </c>
      <c r="K196" s="163">
        <v>0</v>
      </c>
      <c r="L196" s="163">
        <v>3926366.82938436</v>
      </c>
      <c r="M196" s="163">
        <v>467329</v>
      </c>
      <c r="N196" s="163">
        <v>44670</v>
      </c>
      <c r="O196" s="163">
        <v>60379</v>
      </c>
      <c r="P196" s="163">
        <v>3353989</v>
      </c>
      <c r="Q196" s="163">
        <v>1973347</v>
      </c>
      <c r="R196" s="163">
        <v>275186</v>
      </c>
      <c r="S196" s="163">
        <v>5167275</v>
      </c>
      <c r="T196" s="163">
        <v>9855</v>
      </c>
      <c r="U196" s="163">
        <v>132000</v>
      </c>
      <c r="V196" s="163">
        <v>3089</v>
      </c>
      <c r="W196" s="163">
        <v>1432</v>
      </c>
      <c r="X196" s="163">
        <v>0</v>
      </c>
      <c r="Y196" s="163">
        <v>0</v>
      </c>
      <c r="Z196" s="163">
        <v>214</v>
      </c>
      <c r="AA196" s="163">
        <v>327</v>
      </c>
      <c r="AB196" s="163">
        <v>2264</v>
      </c>
      <c r="AC196" s="163">
        <v>1660</v>
      </c>
      <c r="AD196" s="163">
        <v>445</v>
      </c>
      <c r="AE196" s="163">
        <v>1</v>
      </c>
      <c r="AF196" s="163">
        <v>407</v>
      </c>
      <c r="AG196" s="163">
        <v>48</v>
      </c>
      <c r="AH196" s="163">
        <v>50434000</v>
      </c>
      <c r="AI196" s="163">
        <v>49981000</v>
      </c>
    </row>
    <row r="197" spans="1:35" x14ac:dyDescent="0.2">
      <c r="A197" t="s">
        <v>631</v>
      </c>
      <c r="B197" t="s">
        <v>249</v>
      </c>
      <c r="C197" s="163">
        <v>27822520.05332322</v>
      </c>
      <c r="D197" s="163">
        <v>17504257.05332322</v>
      </c>
      <c r="E197" s="163">
        <v>8628796</v>
      </c>
      <c r="F197" s="163">
        <v>3555284.7472144999</v>
      </c>
      <c r="G197" s="163">
        <v>3049401.7472144999</v>
      </c>
      <c r="H197" s="163">
        <v>505883</v>
      </c>
      <c r="I197" s="163">
        <v>2695777.10669412</v>
      </c>
      <c r="J197" s="163">
        <v>2695777.10669412</v>
      </c>
      <c r="K197" s="163">
        <v>0</v>
      </c>
      <c r="L197" s="163">
        <v>2377734.4334866698</v>
      </c>
      <c r="M197" s="163">
        <v>61486</v>
      </c>
      <c r="N197" s="163">
        <v>29315</v>
      </c>
      <c r="O197" s="163">
        <v>114867</v>
      </c>
      <c r="P197" s="163">
        <v>2172067</v>
      </c>
      <c r="Q197" s="163">
        <v>1507320</v>
      </c>
      <c r="R197" s="163">
        <v>182147</v>
      </c>
      <c r="S197" s="163">
        <v>3312573</v>
      </c>
      <c r="T197" s="163">
        <v>12308</v>
      </c>
      <c r="U197" s="163">
        <v>56000</v>
      </c>
      <c r="V197" s="163">
        <v>2908</v>
      </c>
      <c r="W197" s="163">
        <v>1867</v>
      </c>
      <c r="X197" s="163">
        <v>3</v>
      </c>
      <c r="Y197" s="163">
        <v>1810</v>
      </c>
      <c r="Z197" s="163">
        <v>93</v>
      </c>
      <c r="AA197" s="163">
        <v>149</v>
      </c>
      <c r="AB197" s="163">
        <v>2643</v>
      </c>
      <c r="AC197" s="163">
        <v>0</v>
      </c>
      <c r="AD197" s="163">
        <v>388</v>
      </c>
      <c r="AE197" s="163">
        <v>63</v>
      </c>
      <c r="AF197" s="163">
        <v>661</v>
      </c>
      <c r="AG197" s="163">
        <v>211</v>
      </c>
      <c r="AH197" s="163">
        <v>47915000</v>
      </c>
      <c r="AI197" s="163">
        <v>46656000</v>
      </c>
    </row>
    <row r="198" spans="1:35" x14ac:dyDescent="0.2">
      <c r="A198" t="s">
        <v>638</v>
      </c>
      <c r="B198" t="s">
        <v>491</v>
      </c>
      <c r="C198" s="163">
        <v>31697560.908674702</v>
      </c>
      <c r="D198" s="163">
        <v>18521267.908674702</v>
      </c>
      <c r="E198" s="163">
        <v>10684708</v>
      </c>
      <c r="F198" s="163">
        <v>4127737.6869504601</v>
      </c>
      <c r="G198" s="163">
        <v>3147159.6869504601</v>
      </c>
      <c r="H198" s="163">
        <v>980578</v>
      </c>
      <c r="I198" s="163">
        <v>3930370.4939114298</v>
      </c>
      <c r="J198" s="163">
        <v>3930370.4939114298</v>
      </c>
      <c r="K198" s="163">
        <v>0</v>
      </c>
      <c r="L198" s="163">
        <v>2626599.6462117699</v>
      </c>
      <c r="M198" s="163">
        <v>226745</v>
      </c>
      <c r="N198" s="163">
        <v>27919</v>
      </c>
      <c r="O198" s="163">
        <v>53015</v>
      </c>
      <c r="P198" s="163">
        <v>2318920</v>
      </c>
      <c r="Q198" s="163">
        <v>2305682</v>
      </c>
      <c r="R198" s="163">
        <v>185903</v>
      </c>
      <c r="S198" s="163">
        <v>3874130</v>
      </c>
      <c r="T198" s="163">
        <v>15987</v>
      </c>
      <c r="U198" s="163">
        <v>52000</v>
      </c>
      <c r="V198" s="163">
        <v>2486</v>
      </c>
      <c r="W198" s="163">
        <v>1330</v>
      </c>
      <c r="X198" s="163">
        <v>75</v>
      </c>
      <c r="Y198" s="163">
        <v>0</v>
      </c>
      <c r="Z198" s="163">
        <v>202</v>
      </c>
      <c r="AA198" s="163">
        <v>277</v>
      </c>
      <c r="AB198" s="163">
        <v>2653</v>
      </c>
      <c r="AC198" s="163">
        <v>1849</v>
      </c>
      <c r="AD198" s="163">
        <v>399</v>
      </c>
      <c r="AE198" s="163">
        <v>83</v>
      </c>
      <c r="AF198" s="163">
        <v>253</v>
      </c>
      <c r="AG198" s="163">
        <v>56</v>
      </c>
      <c r="AH198" s="163">
        <v>46292000</v>
      </c>
      <c r="AI198" s="163">
        <v>50677000</v>
      </c>
    </row>
    <row r="199" spans="1:35" x14ac:dyDescent="0.2">
      <c r="A199" t="s">
        <v>633</v>
      </c>
      <c r="B199" t="s">
        <v>375</v>
      </c>
      <c r="C199" s="163">
        <v>48890848.171821192</v>
      </c>
      <c r="D199" s="163">
        <v>29867313.171821192</v>
      </c>
      <c r="E199" s="163">
        <v>15933565</v>
      </c>
      <c r="F199" s="163">
        <v>6357799.5312622897</v>
      </c>
      <c r="G199" s="163">
        <v>5366147.5312622897</v>
      </c>
      <c r="H199" s="163">
        <v>991652</v>
      </c>
      <c r="I199" s="163">
        <v>4181165.9264090201</v>
      </c>
      <c r="J199" s="163">
        <v>4181165.9264090201</v>
      </c>
      <c r="K199" s="163">
        <v>0</v>
      </c>
      <c r="L199" s="163">
        <v>5394599.3487269403</v>
      </c>
      <c r="M199" s="163">
        <v>1177205</v>
      </c>
      <c r="N199" s="163">
        <v>54442</v>
      </c>
      <c r="O199" s="163">
        <v>134011</v>
      </c>
      <c r="P199" s="163">
        <v>4028941</v>
      </c>
      <c r="Q199" s="163">
        <v>2698155</v>
      </c>
      <c r="R199" s="163">
        <v>391815</v>
      </c>
      <c r="S199" s="163">
        <v>11551426</v>
      </c>
      <c r="T199" s="163">
        <v>4800</v>
      </c>
      <c r="U199" s="163">
        <v>933000</v>
      </c>
      <c r="V199" s="163">
        <v>4065</v>
      </c>
      <c r="W199" s="163">
        <v>1841</v>
      </c>
      <c r="X199" s="163">
        <v>0</v>
      </c>
      <c r="Y199" s="163">
        <v>325</v>
      </c>
      <c r="Z199" s="163">
        <v>0</v>
      </c>
      <c r="AA199" s="163">
        <v>40</v>
      </c>
      <c r="AB199" s="163">
        <v>2716</v>
      </c>
      <c r="AC199" s="163">
        <v>4367</v>
      </c>
      <c r="AD199" s="163">
        <v>605</v>
      </c>
      <c r="AE199" s="163">
        <v>411</v>
      </c>
      <c r="AF199" s="163">
        <v>332</v>
      </c>
      <c r="AG199" s="163">
        <v>198</v>
      </c>
      <c r="AH199" s="163">
        <v>83408170</v>
      </c>
      <c r="AI199" s="163">
        <v>85164070.000000015</v>
      </c>
    </row>
    <row r="200" spans="1:35" x14ac:dyDescent="0.2">
      <c r="A200" t="s">
        <v>638</v>
      </c>
      <c r="B200" t="s">
        <v>492</v>
      </c>
      <c r="C200" s="163">
        <v>244092841.02097484</v>
      </c>
      <c r="D200" s="163">
        <v>122858527.02097484</v>
      </c>
      <c r="E200" s="163">
        <v>97227575</v>
      </c>
      <c r="F200" s="163">
        <v>24056499.6298104</v>
      </c>
      <c r="G200" s="163">
        <v>21482260.6298104</v>
      </c>
      <c r="H200" s="163">
        <v>2574239</v>
      </c>
      <c r="I200" s="163">
        <v>45947280.394057103</v>
      </c>
      <c r="J200" s="163">
        <v>18434706.287204556</v>
      </c>
      <c r="K200" s="163">
        <v>27512574.106852546</v>
      </c>
      <c r="L200" s="163">
        <v>27223794.806761902</v>
      </c>
      <c r="M200" s="163">
        <v>5402076</v>
      </c>
      <c r="N200" s="163">
        <v>382489</v>
      </c>
      <c r="O200" s="163">
        <v>882119</v>
      </c>
      <c r="P200" s="163">
        <v>20557111</v>
      </c>
      <c r="Q200" s="163">
        <v>11331814</v>
      </c>
      <c r="R200" s="163">
        <v>12674925</v>
      </c>
      <c r="S200" s="163">
        <v>61534055</v>
      </c>
      <c r="T200" s="163">
        <v>10686</v>
      </c>
      <c r="U200" s="163">
        <v>2794000</v>
      </c>
      <c r="V200" s="163">
        <v>14567</v>
      </c>
      <c r="W200" s="163">
        <v>16287</v>
      </c>
      <c r="X200" s="163">
        <v>11169</v>
      </c>
      <c r="Y200" s="163">
        <v>701</v>
      </c>
      <c r="Z200" s="163">
        <v>3811</v>
      </c>
      <c r="AA200" s="163">
        <v>1484</v>
      </c>
      <c r="AB200" s="163">
        <v>13314</v>
      </c>
      <c r="AC200" s="163">
        <v>16549</v>
      </c>
      <c r="AD200" s="163">
        <v>2252</v>
      </c>
      <c r="AE200" s="163">
        <v>583</v>
      </c>
      <c r="AF200" s="163">
        <v>3975</v>
      </c>
      <c r="AG200" s="163">
        <v>642</v>
      </c>
      <c r="AH200" s="163">
        <v>485674000</v>
      </c>
      <c r="AI200" s="163">
        <v>501496000</v>
      </c>
    </row>
    <row r="201" spans="1:35" x14ac:dyDescent="0.2">
      <c r="A201" t="s">
        <v>637</v>
      </c>
      <c r="B201" t="s">
        <v>168</v>
      </c>
      <c r="C201" s="163">
        <v>15734835.793900046</v>
      </c>
      <c r="D201" s="163">
        <v>9657042.7939000465</v>
      </c>
      <c r="E201" s="163">
        <v>5279614</v>
      </c>
      <c r="F201" s="163">
        <v>2310226.9316188199</v>
      </c>
      <c r="G201" s="163">
        <v>1954478.9316188199</v>
      </c>
      <c r="H201" s="163">
        <v>355748</v>
      </c>
      <c r="I201" s="163">
        <v>1386985.3249550599</v>
      </c>
      <c r="J201" s="163">
        <v>1386985.3249550599</v>
      </c>
      <c r="K201" s="163">
        <v>0</v>
      </c>
      <c r="L201" s="163">
        <v>1582401.2684091199</v>
      </c>
      <c r="M201" s="163">
        <v>164896</v>
      </c>
      <c r="N201" s="163">
        <v>27919</v>
      </c>
      <c r="O201" s="163">
        <v>38289</v>
      </c>
      <c r="P201" s="163">
        <v>1351297</v>
      </c>
      <c r="Q201" s="163">
        <v>703424</v>
      </c>
      <c r="R201" s="163">
        <v>94755</v>
      </c>
      <c r="S201" s="163">
        <v>2369825</v>
      </c>
      <c r="T201" s="163">
        <v>4017</v>
      </c>
      <c r="U201" s="163">
        <v>50000</v>
      </c>
      <c r="V201" s="163">
        <v>1107</v>
      </c>
      <c r="W201" s="163">
        <v>603</v>
      </c>
      <c r="X201" s="163">
        <v>0</v>
      </c>
      <c r="Y201" s="163">
        <v>0</v>
      </c>
      <c r="Z201" s="163">
        <v>0</v>
      </c>
      <c r="AA201" s="163">
        <v>0</v>
      </c>
      <c r="AB201" s="163">
        <v>1129</v>
      </c>
      <c r="AC201" s="163">
        <v>1163</v>
      </c>
      <c r="AD201" s="163">
        <v>144</v>
      </c>
      <c r="AE201" s="163">
        <v>78</v>
      </c>
      <c r="AF201" s="163">
        <v>200</v>
      </c>
      <c r="AG201" s="163">
        <v>0</v>
      </c>
      <c r="AH201" s="163">
        <v>23222000</v>
      </c>
      <c r="AI201" s="163">
        <v>23763000</v>
      </c>
    </row>
    <row r="202" spans="1:35" x14ac:dyDescent="0.2">
      <c r="A202" t="s">
        <v>630</v>
      </c>
      <c r="B202" t="s">
        <v>329</v>
      </c>
      <c r="C202" s="163">
        <v>56228346.148312226</v>
      </c>
      <c r="D202" s="163">
        <v>35169943.148312226</v>
      </c>
      <c r="E202" s="163">
        <v>17610120</v>
      </c>
      <c r="F202" s="163">
        <v>9296173.5547211003</v>
      </c>
      <c r="G202" s="163">
        <v>7429520.5547211003</v>
      </c>
      <c r="H202" s="163">
        <v>1866653</v>
      </c>
      <c r="I202" s="163">
        <v>5495292.0257017696</v>
      </c>
      <c r="J202" s="163">
        <v>5495292.0257017696</v>
      </c>
      <c r="K202" s="163">
        <v>0</v>
      </c>
      <c r="L202" s="163">
        <v>2818654.12511368</v>
      </c>
      <c r="M202" s="163">
        <v>244681</v>
      </c>
      <c r="N202" s="163">
        <v>115864</v>
      </c>
      <c r="O202" s="163">
        <v>164937</v>
      </c>
      <c r="P202" s="163">
        <v>2293173</v>
      </c>
      <c r="Q202" s="163">
        <v>2920473</v>
      </c>
      <c r="R202" s="163">
        <v>527810</v>
      </c>
      <c r="S202" s="163">
        <v>7486009</v>
      </c>
      <c r="T202" s="163">
        <v>13390</v>
      </c>
      <c r="U202" s="163">
        <v>97000</v>
      </c>
      <c r="V202" s="163">
        <v>3786</v>
      </c>
      <c r="W202" s="163">
        <v>2307</v>
      </c>
      <c r="X202" s="163">
        <v>0</v>
      </c>
      <c r="Y202" s="163">
        <v>0</v>
      </c>
      <c r="Z202" s="163">
        <v>482</v>
      </c>
      <c r="AA202" s="163">
        <v>329</v>
      </c>
      <c r="AB202" s="163">
        <v>4211</v>
      </c>
      <c r="AC202" s="163">
        <v>6228</v>
      </c>
      <c r="AD202" s="163">
        <v>640</v>
      </c>
      <c r="AE202" s="163">
        <v>388</v>
      </c>
      <c r="AF202" s="163">
        <v>613</v>
      </c>
      <c r="AG202" s="163">
        <v>242</v>
      </c>
      <c r="AH202" s="163">
        <v>83206000</v>
      </c>
      <c r="AI202" s="163">
        <v>86515000</v>
      </c>
    </row>
    <row r="203" spans="1:35" x14ac:dyDescent="0.2">
      <c r="A203" t="s">
        <v>638</v>
      </c>
      <c r="B203" t="s">
        <v>493</v>
      </c>
      <c r="C203" s="163">
        <v>24151078.722366519</v>
      </c>
      <c r="D203" s="163">
        <v>14396830.722366519</v>
      </c>
      <c r="E203" s="163">
        <v>7964633</v>
      </c>
      <c r="F203" s="163">
        <v>3156207.0927074901</v>
      </c>
      <c r="G203" s="163">
        <v>2843613.0927074901</v>
      </c>
      <c r="H203" s="163">
        <v>312594</v>
      </c>
      <c r="I203" s="163">
        <v>2835925.9939306499</v>
      </c>
      <c r="J203" s="163">
        <v>2835925.9939306499</v>
      </c>
      <c r="K203" s="163">
        <v>0</v>
      </c>
      <c r="L203" s="163">
        <v>1972499.4931095401</v>
      </c>
      <c r="M203" s="163">
        <v>142063</v>
      </c>
      <c r="N203" s="163">
        <v>26523</v>
      </c>
      <c r="O203" s="163">
        <v>69215</v>
      </c>
      <c r="P203" s="163">
        <v>1734698</v>
      </c>
      <c r="Q203" s="163">
        <v>1631978</v>
      </c>
      <c r="R203" s="163">
        <v>157637</v>
      </c>
      <c r="S203" s="163">
        <v>3123250</v>
      </c>
      <c r="T203" s="163">
        <v>2593</v>
      </c>
      <c r="U203" s="163">
        <v>58000</v>
      </c>
      <c r="V203" s="163">
        <v>3802</v>
      </c>
      <c r="W203" s="163">
        <v>848</v>
      </c>
      <c r="X203" s="163">
        <v>234</v>
      </c>
      <c r="Y203" s="163">
        <v>0</v>
      </c>
      <c r="Z203" s="163">
        <v>37</v>
      </c>
      <c r="AA203" s="163">
        <v>174</v>
      </c>
      <c r="AB203" s="163">
        <v>2709</v>
      </c>
      <c r="AC203" s="163">
        <v>1557</v>
      </c>
      <c r="AD203" s="163">
        <v>263</v>
      </c>
      <c r="AE203" s="163">
        <v>159</v>
      </c>
      <c r="AF203" s="163">
        <v>368</v>
      </c>
      <c r="AG203" s="163">
        <v>26</v>
      </c>
      <c r="AH203" s="163">
        <v>40389000</v>
      </c>
      <c r="AI203" s="163">
        <v>43254000</v>
      </c>
    </row>
    <row r="204" spans="1:35" x14ac:dyDescent="0.2">
      <c r="A204" t="s">
        <v>629</v>
      </c>
      <c r="B204" t="s">
        <v>713</v>
      </c>
      <c r="C204" s="163">
        <v>108780734.7034919</v>
      </c>
      <c r="D204" s="163">
        <v>63031018.703491896</v>
      </c>
      <c r="E204" s="163">
        <v>39403713</v>
      </c>
      <c r="F204" s="163">
        <v>14467318.0584155</v>
      </c>
      <c r="G204" s="163">
        <v>12792003.0584155</v>
      </c>
      <c r="H204" s="163">
        <v>1675315</v>
      </c>
      <c r="I204" s="163">
        <v>9755417.9638735093</v>
      </c>
      <c r="J204" s="163">
        <v>9755417.9638735093</v>
      </c>
      <c r="K204" s="163">
        <v>0</v>
      </c>
      <c r="L204" s="163">
        <v>15180977.434872201</v>
      </c>
      <c r="M204" s="163">
        <v>203332</v>
      </c>
      <c r="N204" s="163">
        <v>113072</v>
      </c>
      <c r="O204" s="163">
        <v>534573</v>
      </c>
      <c r="P204" s="163">
        <v>14330001</v>
      </c>
      <c r="Q204" s="163">
        <v>5583610</v>
      </c>
      <c r="R204" s="163">
        <v>762393</v>
      </c>
      <c r="S204" s="163">
        <v>12546985</v>
      </c>
      <c r="T204" s="163">
        <v>16581</v>
      </c>
      <c r="U204" s="163">
        <v>722000</v>
      </c>
      <c r="V204" s="163">
        <v>10110</v>
      </c>
      <c r="W204" s="163">
        <v>7412</v>
      </c>
      <c r="X204" s="163">
        <v>41</v>
      </c>
      <c r="Y204" s="163">
        <v>79</v>
      </c>
      <c r="Z204" s="163">
        <v>187</v>
      </c>
      <c r="AA204" s="163">
        <v>278</v>
      </c>
      <c r="AB204" s="163">
        <v>6792</v>
      </c>
      <c r="AC204" s="163">
        <v>6292</v>
      </c>
      <c r="AD204" s="163">
        <v>1542</v>
      </c>
      <c r="AE204" s="163">
        <v>107</v>
      </c>
      <c r="AF204" s="163">
        <v>2554</v>
      </c>
      <c r="AG204" s="163">
        <v>285</v>
      </c>
      <c r="AH204" s="163">
        <v>192483000</v>
      </c>
      <c r="AI204" s="163">
        <v>195734000</v>
      </c>
    </row>
    <row r="205" spans="1:35" x14ac:dyDescent="0.2">
      <c r="A205" t="s">
        <v>628</v>
      </c>
      <c r="B205" t="s">
        <v>149</v>
      </c>
      <c r="C205" s="163">
        <v>54519878.599488065</v>
      </c>
      <c r="D205" s="163">
        <v>30861238.599488065</v>
      </c>
      <c r="E205" s="163">
        <v>20626521</v>
      </c>
      <c r="F205" s="163">
        <v>8311763.4658896001</v>
      </c>
      <c r="G205" s="163">
        <v>7293254.4658896001</v>
      </c>
      <c r="H205" s="163">
        <v>1018509</v>
      </c>
      <c r="I205" s="163">
        <v>4614580.7606411297</v>
      </c>
      <c r="J205" s="163">
        <v>4614580.7606411297</v>
      </c>
      <c r="K205" s="163">
        <v>0</v>
      </c>
      <c r="L205" s="163">
        <v>7700176.5352721903</v>
      </c>
      <c r="M205" s="163">
        <v>773352</v>
      </c>
      <c r="N205" s="163">
        <v>78173</v>
      </c>
      <c r="O205" s="163">
        <v>159046</v>
      </c>
      <c r="P205" s="163">
        <v>6689605</v>
      </c>
      <c r="Q205" s="163">
        <v>2675110</v>
      </c>
      <c r="R205" s="163">
        <v>357009</v>
      </c>
      <c r="S205" s="163">
        <v>11206813</v>
      </c>
      <c r="T205" s="163">
        <v>13486</v>
      </c>
      <c r="U205" s="163">
        <v>560000</v>
      </c>
      <c r="V205" s="163">
        <v>3777</v>
      </c>
      <c r="W205" s="163">
        <v>3957</v>
      </c>
      <c r="X205" s="163">
        <v>1712</v>
      </c>
      <c r="Y205" s="163">
        <v>40</v>
      </c>
      <c r="Z205" s="163">
        <v>50</v>
      </c>
      <c r="AA205" s="163">
        <v>0</v>
      </c>
      <c r="AB205" s="163">
        <v>2689</v>
      </c>
      <c r="AC205" s="163">
        <v>2677</v>
      </c>
      <c r="AD205" s="163">
        <v>608</v>
      </c>
      <c r="AE205" s="163">
        <v>247</v>
      </c>
      <c r="AF205" s="163">
        <v>680</v>
      </c>
      <c r="AG205" s="163">
        <v>362</v>
      </c>
      <c r="AH205" s="163">
        <v>103633000</v>
      </c>
      <c r="AI205" s="163">
        <v>104533000</v>
      </c>
    </row>
    <row r="206" spans="1:35" x14ac:dyDescent="0.2">
      <c r="A206" t="s">
        <v>640</v>
      </c>
      <c r="B206" t="s">
        <v>407</v>
      </c>
      <c r="C206" s="163">
        <v>79575932.302422702</v>
      </c>
      <c r="D206" s="163">
        <v>48971373.302422702</v>
      </c>
      <c r="E206" s="163">
        <v>25705289</v>
      </c>
      <c r="F206" s="163">
        <v>11821466.231701801</v>
      </c>
      <c r="G206" s="163">
        <v>9071169.2317018006</v>
      </c>
      <c r="H206" s="163">
        <v>2750297</v>
      </c>
      <c r="I206" s="163">
        <v>6028674.1759916302</v>
      </c>
      <c r="J206" s="163">
        <v>6028674.1759916302</v>
      </c>
      <c r="K206" s="163">
        <v>0</v>
      </c>
      <c r="L206" s="163">
        <v>7855148.4389624298</v>
      </c>
      <c r="M206" s="163">
        <v>1811256</v>
      </c>
      <c r="N206" s="163">
        <v>72589</v>
      </c>
      <c r="O206" s="163">
        <v>154628</v>
      </c>
      <c r="P206" s="163">
        <v>5816674</v>
      </c>
      <c r="Q206" s="163">
        <v>4028902</v>
      </c>
      <c r="R206" s="163">
        <v>870368</v>
      </c>
      <c r="S206" s="163">
        <v>17003556</v>
      </c>
      <c r="T206" s="163">
        <v>7570</v>
      </c>
      <c r="U206" s="163">
        <v>401000</v>
      </c>
      <c r="V206" s="163">
        <v>4988</v>
      </c>
      <c r="W206" s="163">
        <v>4492</v>
      </c>
      <c r="X206" s="163">
        <v>5159</v>
      </c>
      <c r="Y206" s="163">
        <v>1162</v>
      </c>
      <c r="Z206" s="163">
        <v>515</v>
      </c>
      <c r="AA206" s="163">
        <v>484</v>
      </c>
      <c r="AB206" s="163">
        <v>4894</v>
      </c>
      <c r="AC206" s="163">
        <v>5892</v>
      </c>
      <c r="AD206" s="163">
        <v>948</v>
      </c>
      <c r="AE206" s="163">
        <v>1990</v>
      </c>
      <c r="AF206" s="163">
        <v>875</v>
      </c>
      <c r="AG206" s="163">
        <v>604</v>
      </c>
      <c r="AH206" s="163">
        <v>148441000</v>
      </c>
      <c r="AI206" s="163">
        <v>147956000</v>
      </c>
    </row>
    <row r="207" spans="1:35" x14ac:dyDescent="0.2">
      <c r="A207" t="s">
        <v>633</v>
      </c>
      <c r="B207" t="s">
        <v>150</v>
      </c>
      <c r="C207" s="163">
        <v>44486247.53597717</v>
      </c>
      <c r="D207" s="163">
        <v>29633777.53597717</v>
      </c>
      <c r="E207" s="163">
        <v>11857303</v>
      </c>
      <c r="F207" s="163">
        <v>1955254.76253087</v>
      </c>
      <c r="G207" s="163">
        <v>1787944.76253087</v>
      </c>
      <c r="H207" s="163">
        <v>167310</v>
      </c>
      <c r="I207" s="163">
        <v>1356559.8126773499</v>
      </c>
      <c r="J207" s="163">
        <v>1356559.8126773499</v>
      </c>
      <c r="K207" s="163">
        <v>0</v>
      </c>
      <c r="L207" s="163">
        <v>124612.433718853</v>
      </c>
      <c r="M207" s="163">
        <v>48096</v>
      </c>
      <c r="N207" s="163">
        <v>27919</v>
      </c>
      <c r="O207" s="163">
        <v>48598</v>
      </c>
      <c r="P207" s="163">
        <v>0</v>
      </c>
      <c r="Q207" s="163">
        <v>2623318</v>
      </c>
      <c r="R207" s="163">
        <v>371849</v>
      </c>
      <c r="S207" s="163">
        <v>1763787</v>
      </c>
      <c r="T207" s="163">
        <v>2412</v>
      </c>
      <c r="U207" s="163">
        <v>53000</v>
      </c>
      <c r="V207" s="163">
        <v>2843</v>
      </c>
      <c r="W207" s="163">
        <v>1370</v>
      </c>
      <c r="X207" s="163">
        <v>6</v>
      </c>
      <c r="Y207" s="163">
        <v>0</v>
      </c>
      <c r="Z207" s="163">
        <v>0</v>
      </c>
      <c r="AA207" s="163">
        <v>0</v>
      </c>
      <c r="AB207" s="163">
        <v>1821</v>
      </c>
      <c r="AC207" s="163">
        <v>2323</v>
      </c>
      <c r="AD207" s="163">
        <v>378</v>
      </c>
      <c r="AE207" s="163">
        <v>99</v>
      </c>
      <c r="AF207" s="163">
        <v>601</v>
      </c>
      <c r="AG207" s="163">
        <v>31</v>
      </c>
      <c r="AH207" s="163">
        <v>41598000</v>
      </c>
      <c r="AI207" s="163">
        <v>44463000</v>
      </c>
    </row>
    <row r="208" spans="1:35" x14ac:dyDescent="0.2">
      <c r="A208" t="s">
        <v>628</v>
      </c>
      <c r="B208" t="s">
        <v>376</v>
      </c>
      <c r="C208" s="163">
        <v>17494901.951996937</v>
      </c>
      <c r="D208" s="163">
        <v>13113375.951996937</v>
      </c>
      <c r="E208" s="163">
        <v>3436427</v>
      </c>
      <c r="F208" s="163">
        <v>6602627.6614888702</v>
      </c>
      <c r="G208" s="163">
        <v>5362798.6614888702</v>
      </c>
      <c r="H208" s="163">
        <v>1239829</v>
      </c>
      <c r="I208" s="163">
        <v>4504555.2721984498</v>
      </c>
      <c r="J208" s="163">
        <v>4504555.2721984498</v>
      </c>
      <c r="K208" s="163">
        <v>0</v>
      </c>
      <c r="L208" s="163">
        <v>750120.37397640396</v>
      </c>
      <c r="M208" s="163">
        <v>593375</v>
      </c>
      <c r="N208" s="163">
        <v>41878</v>
      </c>
      <c r="O208" s="163">
        <v>114867</v>
      </c>
      <c r="P208" s="163">
        <v>0</v>
      </c>
      <c r="Q208" s="163">
        <v>868610</v>
      </c>
      <c r="R208" s="163">
        <v>76489</v>
      </c>
      <c r="S208" s="163">
        <v>7193346</v>
      </c>
      <c r="T208" s="163">
        <v>6515</v>
      </c>
      <c r="U208" s="163">
        <v>105000</v>
      </c>
      <c r="V208" s="163">
        <v>3348</v>
      </c>
      <c r="W208" s="163">
        <v>2697</v>
      </c>
      <c r="X208" s="163">
        <v>10</v>
      </c>
      <c r="Y208" s="163">
        <v>0</v>
      </c>
      <c r="Z208" s="163">
        <v>910</v>
      </c>
      <c r="AA208" s="163">
        <v>231</v>
      </c>
      <c r="AB208" s="163">
        <v>3891</v>
      </c>
      <c r="AC208" s="163">
        <v>2764</v>
      </c>
      <c r="AD208" s="163">
        <v>604</v>
      </c>
      <c r="AE208" s="163">
        <v>437</v>
      </c>
      <c r="AF208" s="163">
        <v>672</v>
      </c>
      <c r="AG208" s="163">
        <v>86</v>
      </c>
      <c r="AH208" s="163">
        <v>73240000</v>
      </c>
      <c r="AI208" s="163">
        <v>72914000</v>
      </c>
    </row>
    <row r="209" spans="1:35" x14ac:dyDescent="0.2">
      <c r="A209" t="s">
        <v>637</v>
      </c>
      <c r="B209" s="249" t="s">
        <v>819</v>
      </c>
      <c r="C209" s="163">
        <v>113391103.40009756</v>
      </c>
      <c r="D209" s="163">
        <v>63099458.400097564</v>
      </c>
      <c r="E209" s="163">
        <v>42539805</v>
      </c>
      <c r="F209" s="163">
        <v>25513315.675013699</v>
      </c>
      <c r="G209" s="163">
        <v>19980621.675013699</v>
      </c>
      <c r="H209" s="163">
        <v>5532694</v>
      </c>
      <c r="I209" s="163">
        <v>15749892.96071228</v>
      </c>
      <c r="J209" s="163">
        <v>15749892.96071228</v>
      </c>
      <c r="K209" s="163">
        <v>0</v>
      </c>
      <c r="L209" s="163">
        <v>30538383.938292108</v>
      </c>
      <c r="M209" s="163">
        <v>4094597</v>
      </c>
      <c r="N209" s="163">
        <v>276397</v>
      </c>
      <c r="O209" s="163">
        <v>606733</v>
      </c>
      <c r="P209" s="163">
        <v>25560657</v>
      </c>
      <c r="Q209" s="163">
        <v>5959373</v>
      </c>
      <c r="R209" s="163">
        <v>1792467</v>
      </c>
      <c r="S209" s="163">
        <v>28726591</v>
      </c>
      <c r="T209" s="163">
        <v>25125</v>
      </c>
      <c r="U209" s="163">
        <v>850000</v>
      </c>
      <c r="V209" s="163" t="s">
        <v>844</v>
      </c>
      <c r="W209" s="163" t="s">
        <v>844</v>
      </c>
      <c r="X209" s="163" t="s">
        <v>844</v>
      </c>
      <c r="Y209" s="163" t="s">
        <v>844</v>
      </c>
      <c r="Z209" s="163" t="s">
        <v>844</v>
      </c>
      <c r="AA209" s="163" t="s">
        <v>844</v>
      </c>
      <c r="AB209" s="163" t="s">
        <v>844</v>
      </c>
      <c r="AC209" s="163" t="s">
        <v>844</v>
      </c>
      <c r="AD209" s="163" t="s">
        <v>844</v>
      </c>
      <c r="AE209" s="163" t="s">
        <v>844</v>
      </c>
      <c r="AF209" s="163" t="s">
        <v>844</v>
      </c>
      <c r="AG209" s="163" t="s">
        <v>844</v>
      </c>
      <c r="AH209" s="163"/>
      <c r="AI209" s="163"/>
    </row>
    <row r="210" spans="1:35" x14ac:dyDescent="0.2">
      <c r="A210" t="s">
        <v>638</v>
      </c>
      <c r="B210" t="s">
        <v>452</v>
      </c>
      <c r="C210" s="163">
        <v>15468588.033806348</v>
      </c>
      <c r="D210" s="163">
        <v>8510215.0338063482</v>
      </c>
      <c r="E210" s="163">
        <v>6008419</v>
      </c>
      <c r="F210" s="163">
        <v>1866869.62953788</v>
      </c>
      <c r="G210" s="163">
        <v>1632822.62953788</v>
      </c>
      <c r="H210" s="163">
        <v>234047</v>
      </c>
      <c r="I210" s="163">
        <v>1540131.0308308201</v>
      </c>
      <c r="J210" s="163">
        <v>1540131.0308308201</v>
      </c>
      <c r="K210" s="163">
        <v>0</v>
      </c>
      <c r="L210" s="163">
        <v>2510376.7519365698</v>
      </c>
      <c r="M210" s="163">
        <v>27249</v>
      </c>
      <c r="N210" s="163">
        <v>25127</v>
      </c>
      <c r="O210" s="163">
        <v>78051</v>
      </c>
      <c r="P210" s="163">
        <v>2379950</v>
      </c>
      <c r="Q210" s="163">
        <v>851779</v>
      </c>
      <c r="R210" s="163">
        <v>98175</v>
      </c>
      <c r="S210" s="163">
        <v>1320084</v>
      </c>
      <c r="T210" s="163">
        <v>148</v>
      </c>
      <c r="U210" s="163">
        <v>52000</v>
      </c>
      <c r="V210" s="163">
        <v>1760</v>
      </c>
      <c r="W210" s="163">
        <v>1097</v>
      </c>
      <c r="X210" s="163">
        <v>0</v>
      </c>
      <c r="Y210" s="163">
        <v>0</v>
      </c>
      <c r="Z210" s="163">
        <v>31</v>
      </c>
      <c r="AA210" s="163">
        <v>1</v>
      </c>
      <c r="AB210" s="163">
        <v>1187</v>
      </c>
      <c r="AC210" s="163">
        <v>714</v>
      </c>
      <c r="AD210" s="163">
        <v>191</v>
      </c>
      <c r="AE210" s="163">
        <v>0</v>
      </c>
      <c r="AF210" s="163">
        <v>452</v>
      </c>
      <c r="AG210" s="163">
        <v>30</v>
      </c>
      <c r="AH210" s="163">
        <v>26867000</v>
      </c>
      <c r="AI210" s="163">
        <v>27512000</v>
      </c>
    </row>
    <row r="211" spans="1:35" x14ac:dyDescent="0.2">
      <c r="A211" t="s">
        <v>629</v>
      </c>
      <c r="B211" t="s">
        <v>453</v>
      </c>
      <c r="C211" s="163">
        <v>46782411.521860391</v>
      </c>
      <c r="D211" s="163">
        <v>28651575.521860391</v>
      </c>
      <c r="E211" s="163">
        <v>14978092</v>
      </c>
      <c r="F211" s="163">
        <v>7016367.01713596</v>
      </c>
      <c r="G211" s="163">
        <v>5499381.01713596</v>
      </c>
      <c r="H211" s="163">
        <v>1516986</v>
      </c>
      <c r="I211" s="163">
        <v>4810553.1722508902</v>
      </c>
      <c r="J211" s="163">
        <v>4810553.1722508902</v>
      </c>
      <c r="K211" s="163">
        <v>0</v>
      </c>
      <c r="L211" s="163">
        <v>3151171.8772706101</v>
      </c>
      <c r="M211" s="163">
        <v>261573</v>
      </c>
      <c r="N211" s="163">
        <v>72589</v>
      </c>
      <c r="O211" s="163">
        <v>114867</v>
      </c>
      <c r="P211" s="163">
        <v>2702143</v>
      </c>
      <c r="Q211" s="163">
        <v>2816803</v>
      </c>
      <c r="R211" s="163">
        <v>335941</v>
      </c>
      <c r="S211" s="163">
        <v>6972214</v>
      </c>
      <c r="T211" s="163">
        <v>7401</v>
      </c>
      <c r="U211" s="163">
        <v>303000</v>
      </c>
      <c r="V211" s="163">
        <v>3351</v>
      </c>
      <c r="W211" s="163">
        <v>12703</v>
      </c>
      <c r="X211" s="163">
        <v>17</v>
      </c>
      <c r="Y211" s="163">
        <v>0</v>
      </c>
      <c r="Z211" s="163">
        <v>179</v>
      </c>
      <c r="AA211" s="163">
        <v>0</v>
      </c>
      <c r="AB211" s="163">
        <v>3785</v>
      </c>
      <c r="AC211" s="163">
        <v>3186</v>
      </c>
      <c r="AD211" s="163">
        <v>629</v>
      </c>
      <c r="AE211" s="163">
        <v>99</v>
      </c>
      <c r="AF211" s="163">
        <v>1237</v>
      </c>
      <c r="AG211" s="163">
        <v>210</v>
      </c>
      <c r="AH211" s="163">
        <v>86500000</v>
      </c>
      <c r="AI211" s="163">
        <v>89956000</v>
      </c>
    </row>
    <row r="212" spans="1:35" x14ac:dyDescent="0.2">
      <c r="A212" t="s">
        <v>633</v>
      </c>
      <c r="B212" t="s">
        <v>377</v>
      </c>
      <c r="C212" s="163">
        <v>33562327.891784742</v>
      </c>
      <c r="D212" s="163">
        <v>22793912.891784742</v>
      </c>
      <c r="E212" s="163">
        <v>8938876</v>
      </c>
      <c r="F212" s="163">
        <v>5636190.9549885998</v>
      </c>
      <c r="G212" s="163">
        <v>4131605.9549885998</v>
      </c>
      <c r="H212" s="163">
        <v>1504585</v>
      </c>
      <c r="I212" s="163">
        <v>2528559.5860828101</v>
      </c>
      <c r="J212" s="163">
        <v>2528559.5860828101</v>
      </c>
      <c r="K212" s="163">
        <v>0</v>
      </c>
      <c r="L212" s="163">
        <v>774125.52744876198</v>
      </c>
      <c r="M212" s="163">
        <v>71184</v>
      </c>
      <c r="N212" s="163">
        <v>30711</v>
      </c>
      <c r="O212" s="163">
        <v>47125</v>
      </c>
      <c r="P212" s="163">
        <v>625106</v>
      </c>
      <c r="Q212" s="163">
        <v>1465798</v>
      </c>
      <c r="R212" s="163">
        <v>363741</v>
      </c>
      <c r="S212" s="163">
        <v>3068946</v>
      </c>
      <c r="T212" s="163">
        <v>338</v>
      </c>
      <c r="U212" s="163">
        <v>88000</v>
      </c>
      <c r="V212" s="163">
        <v>3011</v>
      </c>
      <c r="W212" s="163">
        <v>1887</v>
      </c>
      <c r="X212" s="163">
        <v>0</v>
      </c>
      <c r="Y212" s="163">
        <v>1818</v>
      </c>
      <c r="Z212" s="163">
        <v>58</v>
      </c>
      <c r="AA212" s="163">
        <v>127</v>
      </c>
      <c r="AB212" s="163">
        <v>3929</v>
      </c>
      <c r="AC212" s="163">
        <v>1953</v>
      </c>
      <c r="AD212" s="163">
        <v>496</v>
      </c>
      <c r="AE212" s="163">
        <v>722</v>
      </c>
      <c r="AF212" s="163">
        <v>893</v>
      </c>
      <c r="AG212" s="163">
        <v>181</v>
      </c>
      <c r="AH212" s="163">
        <v>64243000</v>
      </c>
      <c r="AI212" s="163">
        <v>62952000</v>
      </c>
    </row>
    <row r="213" spans="1:35" x14ac:dyDescent="0.2">
      <c r="A213" t="s">
        <v>631</v>
      </c>
      <c r="B213" t="s">
        <v>250</v>
      </c>
      <c r="C213" s="163">
        <v>49090231.837481439</v>
      </c>
      <c r="D213" s="163">
        <v>28489700.837481439</v>
      </c>
      <c r="E213" s="163">
        <v>17134111</v>
      </c>
      <c r="F213" s="163">
        <v>6766969.61778221</v>
      </c>
      <c r="G213" s="163">
        <v>5812061.61778221</v>
      </c>
      <c r="H213" s="163">
        <v>954908</v>
      </c>
      <c r="I213" s="163">
        <v>5274419.5711980304</v>
      </c>
      <c r="J213" s="163">
        <v>5274419.5711980304</v>
      </c>
      <c r="K213" s="163">
        <v>0</v>
      </c>
      <c r="L213" s="163">
        <v>4619614.8422709703</v>
      </c>
      <c r="M213" s="163">
        <v>542885</v>
      </c>
      <c r="N213" s="163">
        <v>89341</v>
      </c>
      <c r="O213" s="163">
        <v>184082</v>
      </c>
      <c r="P213" s="163">
        <v>3803307</v>
      </c>
      <c r="Q213" s="163">
        <v>3082947</v>
      </c>
      <c r="R213" s="163">
        <v>383473</v>
      </c>
      <c r="S213" s="163">
        <v>7538464</v>
      </c>
      <c r="T213" s="163">
        <v>5060</v>
      </c>
      <c r="U213" s="163">
        <v>145000</v>
      </c>
      <c r="V213" s="163">
        <v>4527</v>
      </c>
      <c r="W213" s="163">
        <v>1996</v>
      </c>
      <c r="X213" s="163">
        <v>17</v>
      </c>
      <c r="Y213" s="163">
        <v>0</v>
      </c>
      <c r="Z213" s="163">
        <v>345</v>
      </c>
      <c r="AA213" s="163">
        <v>293</v>
      </c>
      <c r="AB213" s="163">
        <v>3978</v>
      </c>
      <c r="AC213" s="163">
        <v>2387</v>
      </c>
      <c r="AD213" s="163">
        <v>1011</v>
      </c>
      <c r="AE213" s="163">
        <v>261</v>
      </c>
      <c r="AF213" s="163">
        <v>1343</v>
      </c>
      <c r="AG213" s="163">
        <v>62</v>
      </c>
      <c r="AH213" s="163">
        <v>76841000</v>
      </c>
      <c r="AI213" s="163">
        <v>77077000</v>
      </c>
    </row>
    <row r="214" spans="1:35" x14ac:dyDescent="0.2">
      <c r="A214" t="s">
        <v>636</v>
      </c>
      <c r="B214" t="s">
        <v>523</v>
      </c>
      <c r="C214" s="163">
        <v>14301805.331961386</v>
      </c>
      <c r="D214" s="163">
        <v>9973946.3319613859</v>
      </c>
      <c r="E214" s="163">
        <v>3493417</v>
      </c>
      <c r="F214" s="163">
        <v>1765707.4781707299</v>
      </c>
      <c r="G214" s="163">
        <v>1596600.4781707299</v>
      </c>
      <c r="H214" s="163">
        <v>169107</v>
      </c>
      <c r="I214" s="163">
        <v>1214662.57677605</v>
      </c>
      <c r="J214" s="163">
        <v>1214662.57677605</v>
      </c>
      <c r="K214" s="163">
        <v>0</v>
      </c>
      <c r="L214" s="163">
        <v>513047.36099439999</v>
      </c>
      <c r="M214" s="163">
        <v>33826</v>
      </c>
      <c r="N214" s="163">
        <v>12564</v>
      </c>
      <c r="O214" s="163">
        <v>23562</v>
      </c>
      <c r="P214" s="163">
        <v>443095</v>
      </c>
      <c r="Q214" s="163">
        <v>706722</v>
      </c>
      <c r="R214" s="163">
        <v>127720</v>
      </c>
      <c r="S214" s="163">
        <v>1397504</v>
      </c>
      <c r="T214" s="163">
        <v>442</v>
      </c>
      <c r="U214" s="163">
        <v>66000</v>
      </c>
      <c r="V214" s="163">
        <v>2002</v>
      </c>
      <c r="W214" s="163">
        <v>1297</v>
      </c>
      <c r="X214" s="163">
        <v>0</v>
      </c>
      <c r="Y214" s="163">
        <v>0</v>
      </c>
      <c r="Z214" s="163">
        <v>0</v>
      </c>
      <c r="AA214" s="163">
        <v>0</v>
      </c>
      <c r="AB214" s="163">
        <v>1324</v>
      </c>
      <c r="AC214" s="163">
        <v>1113</v>
      </c>
      <c r="AD214" s="163">
        <v>260</v>
      </c>
      <c r="AE214" s="163">
        <v>81</v>
      </c>
      <c r="AF214" s="163">
        <v>389</v>
      </c>
      <c r="AG214" s="163">
        <v>234</v>
      </c>
      <c r="AH214" s="163">
        <v>24462000</v>
      </c>
      <c r="AI214" s="163">
        <v>25622000</v>
      </c>
    </row>
    <row r="215" spans="1:35" x14ac:dyDescent="0.2">
      <c r="A215" t="s">
        <v>638</v>
      </c>
      <c r="B215" t="s">
        <v>494</v>
      </c>
      <c r="C215" s="163">
        <v>8947115.592759084</v>
      </c>
      <c r="D215" s="163">
        <v>5725022.592759084</v>
      </c>
      <c r="E215" s="163">
        <v>2619507</v>
      </c>
      <c r="F215" s="163">
        <v>1077545.8318330101</v>
      </c>
      <c r="G215" s="163">
        <v>945092.83183301007</v>
      </c>
      <c r="H215" s="163">
        <v>132453</v>
      </c>
      <c r="I215" s="163">
        <v>879875.70981882699</v>
      </c>
      <c r="J215" s="163">
        <v>879875.70981882699</v>
      </c>
      <c r="K215" s="163">
        <v>0</v>
      </c>
      <c r="L215" s="163">
        <v>662085.19793408795</v>
      </c>
      <c r="M215" s="163">
        <v>69165</v>
      </c>
      <c r="N215" s="163">
        <v>9772</v>
      </c>
      <c r="O215" s="163">
        <v>25035</v>
      </c>
      <c r="P215" s="163">
        <v>558113</v>
      </c>
      <c r="Q215" s="163">
        <v>543130</v>
      </c>
      <c r="R215" s="163">
        <v>59456</v>
      </c>
      <c r="S215" s="163">
        <v>1466446</v>
      </c>
      <c r="T215" s="163">
        <v>1569</v>
      </c>
      <c r="U215" s="163">
        <v>0</v>
      </c>
      <c r="V215" s="163">
        <v>1231</v>
      </c>
      <c r="W215" s="163">
        <v>341</v>
      </c>
      <c r="X215" s="163">
        <v>0</v>
      </c>
      <c r="Y215" s="163">
        <v>0</v>
      </c>
      <c r="Z215" s="163">
        <v>76</v>
      </c>
      <c r="AA215" s="163">
        <v>86</v>
      </c>
      <c r="AB215" s="163">
        <v>881</v>
      </c>
      <c r="AC215" s="163">
        <v>748</v>
      </c>
      <c r="AD215" s="163">
        <v>143</v>
      </c>
      <c r="AE215" s="163">
        <v>0</v>
      </c>
      <c r="AF215" s="163">
        <v>152</v>
      </c>
      <c r="AG215" s="163">
        <v>38</v>
      </c>
      <c r="AH215" s="163">
        <v>15381000</v>
      </c>
      <c r="AI215" s="163">
        <v>15705000</v>
      </c>
    </row>
    <row r="216" spans="1:35" x14ac:dyDescent="0.2">
      <c r="A216" t="s">
        <v>631</v>
      </c>
      <c r="B216" t="s">
        <v>251</v>
      </c>
      <c r="C216" s="163">
        <v>28646441.594959781</v>
      </c>
      <c r="D216" s="163">
        <v>17464214.594959781</v>
      </c>
      <c r="E216" s="163">
        <v>9371416</v>
      </c>
      <c r="F216" s="163">
        <v>4852566.7565469798</v>
      </c>
      <c r="G216" s="163">
        <v>4339159.7565469798</v>
      </c>
      <c r="H216" s="163">
        <v>513407</v>
      </c>
      <c r="I216" s="163">
        <v>2807480.4751752899</v>
      </c>
      <c r="J216" s="163">
        <v>2807480.4751752899</v>
      </c>
      <c r="K216" s="163">
        <v>0</v>
      </c>
      <c r="L216" s="163">
        <v>1711369.0022495899</v>
      </c>
      <c r="M216" s="163">
        <v>180092</v>
      </c>
      <c r="N216" s="163">
        <v>23731</v>
      </c>
      <c r="O216" s="163">
        <v>79523</v>
      </c>
      <c r="P216" s="163">
        <v>1428023</v>
      </c>
      <c r="Q216" s="163">
        <v>1566139</v>
      </c>
      <c r="R216" s="163">
        <v>244672</v>
      </c>
      <c r="S216" s="163">
        <v>3867135</v>
      </c>
      <c r="T216" s="163">
        <v>1208</v>
      </c>
      <c r="U216" s="163">
        <v>193000</v>
      </c>
      <c r="V216" s="163">
        <v>3484</v>
      </c>
      <c r="W216" s="163">
        <v>1586</v>
      </c>
      <c r="X216" s="163">
        <v>0</v>
      </c>
      <c r="Y216" s="163">
        <v>484</v>
      </c>
      <c r="Z216" s="163">
        <v>47</v>
      </c>
      <c r="AA216" s="163">
        <v>146</v>
      </c>
      <c r="AB216" s="163">
        <v>2011</v>
      </c>
      <c r="AC216" s="163">
        <v>0</v>
      </c>
      <c r="AD216" s="163">
        <v>425</v>
      </c>
      <c r="AE216" s="163">
        <v>357</v>
      </c>
      <c r="AF216" s="163">
        <v>906</v>
      </c>
      <c r="AG216" s="163">
        <v>225</v>
      </c>
      <c r="AH216" s="163">
        <v>46607000</v>
      </c>
      <c r="AI216" s="163">
        <v>46805000</v>
      </c>
    </row>
    <row r="217" spans="1:35" x14ac:dyDescent="0.2">
      <c r="A217" t="s">
        <v>638</v>
      </c>
      <c r="B217" t="s">
        <v>495</v>
      </c>
      <c r="C217" s="163">
        <v>22218210.778002813</v>
      </c>
      <c r="D217" s="163">
        <v>13481751.778002813</v>
      </c>
      <c r="E217" s="163">
        <v>7273108</v>
      </c>
      <c r="F217" s="163">
        <v>2519571.13232056</v>
      </c>
      <c r="G217" s="163">
        <v>2303177.13232056</v>
      </c>
      <c r="H217" s="163">
        <v>216394</v>
      </c>
      <c r="I217" s="163">
        <v>2198388.13588598</v>
      </c>
      <c r="J217" s="163">
        <v>2198388.13588598</v>
      </c>
      <c r="K217" s="163">
        <v>0</v>
      </c>
      <c r="L217" s="163">
        <v>2555149.2314673201</v>
      </c>
      <c r="M217" s="163">
        <v>42484</v>
      </c>
      <c r="N217" s="163">
        <v>9772</v>
      </c>
      <c r="O217" s="163">
        <v>35344</v>
      </c>
      <c r="P217" s="163">
        <v>2467550</v>
      </c>
      <c r="Q217" s="163">
        <v>1310649</v>
      </c>
      <c r="R217" s="163">
        <v>152702</v>
      </c>
      <c r="S217" s="163">
        <v>1939597</v>
      </c>
      <c r="T217" s="163">
        <v>2809</v>
      </c>
      <c r="U217" s="163">
        <v>88000</v>
      </c>
      <c r="V217" s="163">
        <v>2286</v>
      </c>
      <c r="W217" s="163">
        <v>1621</v>
      </c>
      <c r="X217" s="163">
        <v>0</v>
      </c>
      <c r="Y217" s="163">
        <v>0</v>
      </c>
      <c r="Z217" s="163">
        <v>19</v>
      </c>
      <c r="AA217" s="163">
        <v>110</v>
      </c>
      <c r="AB217" s="163">
        <v>1821</v>
      </c>
      <c r="AC217" s="163">
        <v>892</v>
      </c>
      <c r="AD217" s="163">
        <v>180</v>
      </c>
      <c r="AE217" s="163">
        <v>32</v>
      </c>
      <c r="AF217" s="163">
        <v>289</v>
      </c>
      <c r="AG217" s="163">
        <v>22</v>
      </c>
      <c r="AH217" s="163">
        <v>37691000</v>
      </c>
      <c r="AI217" s="163">
        <v>38893000</v>
      </c>
    </row>
    <row r="218" spans="1:35" x14ac:dyDescent="0.2">
      <c r="A218" t="s">
        <v>631</v>
      </c>
      <c r="B218" t="s">
        <v>252</v>
      </c>
      <c r="C218" s="163">
        <v>15244681.364719665</v>
      </c>
      <c r="D218" s="163">
        <v>10187941.364719665</v>
      </c>
      <c r="E218" s="163">
        <v>4269220</v>
      </c>
      <c r="F218" s="163">
        <v>1870601.0433680499</v>
      </c>
      <c r="G218" s="163">
        <v>1759073.0433680499</v>
      </c>
      <c r="H218" s="163">
        <v>111528</v>
      </c>
      <c r="I218" s="163">
        <v>1242781.45593442</v>
      </c>
      <c r="J218" s="163">
        <v>1242781.45593442</v>
      </c>
      <c r="K218" s="163">
        <v>0</v>
      </c>
      <c r="L218" s="163">
        <v>1155837.6624154099</v>
      </c>
      <c r="M218" s="163">
        <v>44173</v>
      </c>
      <c r="N218" s="163">
        <v>19543</v>
      </c>
      <c r="O218" s="163">
        <v>30926</v>
      </c>
      <c r="P218" s="163">
        <v>1061196</v>
      </c>
      <c r="Q218" s="163">
        <v>679793</v>
      </c>
      <c r="R218" s="163">
        <v>107727</v>
      </c>
      <c r="S218" s="163">
        <v>1702670</v>
      </c>
      <c r="T218" s="163">
        <v>11053</v>
      </c>
      <c r="U218" s="163">
        <v>66000</v>
      </c>
      <c r="V218" s="163">
        <v>1162</v>
      </c>
      <c r="W218" s="163">
        <v>968</v>
      </c>
      <c r="X218" s="163">
        <v>0</v>
      </c>
      <c r="Y218" s="163">
        <v>1247</v>
      </c>
      <c r="Z218" s="163">
        <v>0</v>
      </c>
      <c r="AA218" s="163">
        <v>0</v>
      </c>
      <c r="AB218" s="163">
        <v>2020</v>
      </c>
      <c r="AC218" s="163">
        <v>0</v>
      </c>
      <c r="AD218" s="163">
        <v>219</v>
      </c>
      <c r="AE218" s="163">
        <v>120</v>
      </c>
      <c r="AF218" s="163">
        <v>345</v>
      </c>
      <c r="AG218" s="163">
        <v>14</v>
      </c>
      <c r="AH218" s="163">
        <v>24626000</v>
      </c>
      <c r="AI218" s="163">
        <v>24482000</v>
      </c>
    </row>
    <row r="219" spans="1:35" x14ac:dyDescent="0.2">
      <c r="A219" t="s">
        <v>636</v>
      </c>
      <c r="B219" t="s">
        <v>287</v>
      </c>
      <c r="C219" s="163">
        <v>82764333.298943341</v>
      </c>
      <c r="D219" s="163">
        <v>54323763.298943341</v>
      </c>
      <c r="E219" s="163">
        <v>23531350</v>
      </c>
      <c r="F219" s="163">
        <v>11657878.447396901</v>
      </c>
      <c r="G219" s="163">
        <v>10874593.447396901</v>
      </c>
      <c r="H219" s="163">
        <v>783285</v>
      </c>
      <c r="I219" s="163">
        <v>7761662.3874798696</v>
      </c>
      <c r="J219" s="163">
        <v>7761662.3874798696</v>
      </c>
      <c r="K219" s="163">
        <v>0</v>
      </c>
      <c r="L219" s="163">
        <v>4111809.6646722802</v>
      </c>
      <c r="M219" s="163">
        <v>1186182</v>
      </c>
      <c r="N219" s="163">
        <v>136803</v>
      </c>
      <c r="O219" s="163">
        <v>238570</v>
      </c>
      <c r="P219" s="163">
        <v>2550255</v>
      </c>
      <c r="Q219" s="163">
        <v>4325778</v>
      </c>
      <c r="R219" s="163">
        <v>583442</v>
      </c>
      <c r="S219" s="163">
        <v>17990416</v>
      </c>
      <c r="T219" s="163">
        <v>18680</v>
      </c>
      <c r="U219" s="163">
        <v>743000</v>
      </c>
      <c r="V219" s="163">
        <v>6474</v>
      </c>
      <c r="W219" s="163">
        <v>8910</v>
      </c>
      <c r="X219" s="163">
        <v>5597</v>
      </c>
      <c r="Y219" s="163">
        <v>171</v>
      </c>
      <c r="Z219" s="163">
        <v>0</v>
      </c>
      <c r="AA219" s="163">
        <v>61</v>
      </c>
      <c r="AB219" s="163">
        <v>4575</v>
      </c>
      <c r="AC219" s="163">
        <v>5658</v>
      </c>
      <c r="AD219" s="163">
        <v>1312</v>
      </c>
      <c r="AE219" s="163">
        <v>367</v>
      </c>
      <c r="AF219" s="163">
        <v>1175</v>
      </c>
      <c r="AG219" s="163">
        <v>210</v>
      </c>
      <c r="AH219" s="163">
        <v>159302000</v>
      </c>
      <c r="AI219" s="163">
        <v>165959000</v>
      </c>
    </row>
    <row r="220" spans="1:35" x14ac:dyDescent="0.2">
      <c r="A220" t="s">
        <v>636</v>
      </c>
      <c r="B220" t="s">
        <v>378</v>
      </c>
      <c r="C220" s="163">
        <v>30811069.181777585</v>
      </c>
      <c r="D220" s="163">
        <v>20599503.181777585</v>
      </c>
      <c r="E220" s="163">
        <v>8221295</v>
      </c>
      <c r="F220" s="163">
        <v>3445540.2413183101</v>
      </c>
      <c r="G220" s="163">
        <v>3144231.2413183101</v>
      </c>
      <c r="H220" s="163">
        <v>301309</v>
      </c>
      <c r="I220" s="163">
        <v>3332168.0193472002</v>
      </c>
      <c r="J220" s="163">
        <v>3332168.0193472002</v>
      </c>
      <c r="K220" s="163">
        <v>0</v>
      </c>
      <c r="L220" s="163">
        <v>1443587.05103854</v>
      </c>
      <c r="M220" s="163">
        <v>69444</v>
      </c>
      <c r="N220" s="163">
        <v>36295</v>
      </c>
      <c r="O220" s="163">
        <v>69215</v>
      </c>
      <c r="P220" s="163">
        <v>1268634</v>
      </c>
      <c r="Q220" s="163">
        <v>1795997</v>
      </c>
      <c r="R220" s="163">
        <v>194274</v>
      </c>
      <c r="S220" s="163">
        <v>3346076</v>
      </c>
      <c r="T220" s="163">
        <v>4991</v>
      </c>
      <c r="U220" s="163">
        <v>58000</v>
      </c>
      <c r="V220" s="163">
        <v>4464</v>
      </c>
      <c r="W220" s="163">
        <v>2559</v>
      </c>
      <c r="X220" s="163">
        <v>6</v>
      </c>
      <c r="Y220" s="163">
        <v>535</v>
      </c>
      <c r="Z220" s="163">
        <v>0</v>
      </c>
      <c r="AA220" s="163">
        <v>168</v>
      </c>
      <c r="AB220" s="163">
        <v>2412</v>
      </c>
      <c r="AC220" s="163">
        <v>2930</v>
      </c>
      <c r="AD220" s="163">
        <v>444</v>
      </c>
      <c r="AE220" s="163">
        <v>145</v>
      </c>
      <c r="AF220" s="163">
        <v>1108</v>
      </c>
      <c r="AG220" s="163">
        <v>336</v>
      </c>
      <c r="AH220" s="163">
        <v>76019000</v>
      </c>
      <c r="AI220" s="163">
        <v>73374000</v>
      </c>
    </row>
    <row r="221" spans="1:35" x14ac:dyDescent="0.2">
      <c r="A221" t="s">
        <v>631</v>
      </c>
      <c r="B221" t="s">
        <v>253</v>
      </c>
      <c r="C221" s="163">
        <v>47510723.103185892</v>
      </c>
      <c r="D221" s="163">
        <v>30370420.103185892</v>
      </c>
      <c r="E221" s="163">
        <v>14192092</v>
      </c>
      <c r="F221" s="163">
        <v>7649885.8278526403</v>
      </c>
      <c r="G221" s="163">
        <v>6224976.8278526403</v>
      </c>
      <c r="H221" s="163">
        <v>1424909</v>
      </c>
      <c r="I221" s="163">
        <v>4457462.6124896798</v>
      </c>
      <c r="J221" s="163">
        <v>4457462.6124896798</v>
      </c>
      <c r="K221" s="163">
        <v>0</v>
      </c>
      <c r="L221" s="163">
        <v>2084743.5382773699</v>
      </c>
      <c r="M221" s="163">
        <v>101362</v>
      </c>
      <c r="N221" s="163">
        <v>65610</v>
      </c>
      <c r="O221" s="163">
        <v>106031</v>
      </c>
      <c r="P221" s="163">
        <v>1811741</v>
      </c>
      <c r="Q221" s="163">
        <v>2583268</v>
      </c>
      <c r="R221" s="163">
        <v>364943</v>
      </c>
      <c r="S221" s="163">
        <v>5859502</v>
      </c>
      <c r="T221" s="163">
        <v>6580</v>
      </c>
      <c r="U221" s="163">
        <v>422000</v>
      </c>
      <c r="V221" s="163">
        <v>4724</v>
      </c>
      <c r="W221" s="163">
        <v>3523</v>
      </c>
      <c r="X221" s="163">
        <v>572</v>
      </c>
      <c r="Y221" s="163">
        <v>1810</v>
      </c>
      <c r="Z221" s="163">
        <v>147</v>
      </c>
      <c r="AA221" s="163">
        <v>296</v>
      </c>
      <c r="AB221" s="163">
        <v>2376</v>
      </c>
      <c r="AC221" s="163">
        <v>2994</v>
      </c>
      <c r="AD221" s="163">
        <v>667</v>
      </c>
      <c r="AE221" s="163">
        <v>605</v>
      </c>
      <c r="AF221" s="163">
        <v>1152</v>
      </c>
      <c r="AG221" s="163">
        <v>212</v>
      </c>
      <c r="AH221" s="163">
        <v>86699000</v>
      </c>
      <c r="AI221" s="163">
        <v>85717000</v>
      </c>
    </row>
    <row r="222" spans="1:35" x14ac:dyDescent="0.2">
      <c r="A222" t="s">
        <v>631</v>
      </c>
      <c r="B222" t="s">
        <v>254</v>
      </c>
      <c r="C222" s="163">
        <v>364377768.57029682</v>
      </c>
      <c r="D222" s="163">
        <v>183099269.57029682</v>
      </c>
      <c r="E222" s="163">
        <v>151503095</v>
      </c>
      <c r="F222" s="163">
        <v>37821066.324561901</v>
      </c>
      <c r="G222" s="163">
        <v>32726117.324561901</v>
      </c>
      <c r="H222" s="163">
        <v>5094949</v>
      </c>
      <c r="I222" s="163">
        <v>79106485.920161903</v>
      </c>
      <c r="J222" s="163">
        <v>26173810.542227879</v>
      </c>
      <c r="K222" s="163">
        <v>52932675.377934024</v>
      </c>
      <c r="L222" s="163">
        <v>34575542.837925099</v>
      </c>
      <c r="M222" s="163">
        <v>10163128</v>
      </c>
      <c r="N222" s="163">
        <v>520688</v>
      </c>
      <c r="O222" s="163">
        <v>1294461</v>
      </c>
      <c r="P222" s="163">
        <v>22597265</v>
      </c>
      <c r="Q222" s="163">
        <v>12311479</v>
      </c>
      <c r="R222" s="163">
        <v>17463925</v>
      </c>
      <c r="S222" s="163">
        <v>90869848</v>
      </c>
      <c r="T222" s="163">
        <v>46507</v>
      </c>
      <c r="U222" s="163">
        <v>3993000</v>
      </c>
      <c r="V222" s="163">
        <v>42270</v>
      </c>
      <c r="W222" s="163">
        <v>37402</v>
      </c>
      <c r="X222" s="163">
        <v>17064</v>
      </c>
      <c r="Y222" s="163">
        <v>280</v>
      </c>
      <c r="Z222" s="163">
        <v>587</v>
      </c>
      <c r="AA222" s="163">
        <v>1199</v>
      </c>
      <c r="AB222" s="163">
        <v>15313</v>
      </c>
      <c r="AC222" s="163">
        <v>3190</v>
      </c>
      <c r="AD222" s="163">
        <v>3603</v>
      </c>
      <c r="AE222" s="163">
        <v>0</v>
      </c>
      <c r="AF222" s="163">
        <v>5693</v>
      </c>
      <c r="AG222" s="163">
        <v>2059</v>
      </c>
      <c r="AH222" s="163">
        <v>715420000</v>
      </c>
      <c r="AI222" s="163">
        <v>704092000</v>
      </c>
    </row>
    <row r="223" spans="1:35" x14ac:dyDescent="0.2">
      <c r="A223" t="s">
        <v>633</v>
      </c>
      <c r="B223" t="s">
        <v>568</v>
      </c>
      <c r="C223" s="163">
        <v>149322669.88127917</v>
      </c>
      <c r="D223" s="163">
        <v>80308653.881279171</v>
      </c>
      <c r="E223" s="163">
        <v>56933689</v>
      </c>
      <c r="F223" s="163">
        <v>18476420.086402699</v>
      </c>
      <c r="G223" s="163">
        <v>15962871.086402699</v>
      </c>
      <c r="H223" s="163">
        <v>2513549</v>
      </c>
      <c r="I223" s="163">
        <v>26717215.4315648</v>
      </c>
      <c r="J223" s="163">
        <v>11751723.165795786</v>
      </c>
      <c r="K223" s="163">
        <v>14965492.265769014</v>
      </c>
      <c r="L223" s="163">
        <v>11740053.4099438</v>
      </c>
      <c r="M223" s="163">
        <v>2767325</v>
      </c>
      <c r="N223" s="163">
        <v>188453</v>
      </c>
      <c r="O223" s="163">
        <v>288640</v>
      </c>
      <c r="P223" s="163">
        <v>8495636</v>
      </c>
      <c r="Q223" s="163">
        <v>6792058</v>
      </c>
      <c r="R223" s="163">
        <v>5288269</v>
      </c>
      <c r="S223" s="163">
        <v>30194220</v>
      </c>
      <c r="T223" s="163">
        <v>14618</v>
      </c>
      <c r="U223" s="163">
        <v>663000</v>
      </c>
      <c r="V223" s="163">
        <v>9452</v>
      </c>
      <c r="W223" s="163">
        <v>5890</v>
      </c>
      <c r="X223" s="163">
        <v>3008</v>
      </c>
      <c r="Y223" s="163">
        <v>5077</v>
      </c>
      <c r="Z223" s="163">
        <v>170</v>
      </c>
      <c r="AA223" s="163">
        <v>1311</v>
      </c>
      <c r="AB223" s="163">
        <v>5392</v>
      </c>
      <c r="AC223" s="163">
        <v>10835</v>
      </c>
      <c r="AD223" s="163">
        <v>1607</v>
      </c>
      <c r="AE223" s="163">
        <v>426</v>
      </c>
      <c r="AF223" s="163">
        <v>408</v>
      </c>
      <c r="AG223" s="163">
        <v>175</v>
      </c>
      <c r="AH223" s="163">
        <v>254054000</v>
      </c>
      <c r="AI223" s="163">
        <v>245158000</v>
      </c>
    </row>
    <row r="224" spans="1:35" x14ac:dyDescent="0.2">
      <c r="A224" t="s">
        <v>640</v>
      </c>
      <c r="B224" t="s">
        <v>408</v>
      </c>
      <c r="C224" s="163">
        <v>11309934.849637447</v>
      </c>
      <c r="D224" s="163">
        <v>7464263.8496374469</v>
      </c>
      <c r="E224" s="163">
        <v>3093122</v>
      </c>
      <c r="F224" s="163">
        <v>1376405.2867884</v>
      </c>
      <c r="G224" s="163">
        <v>1206825.2867884</v>
      </c>
      <c r="H224" s="163">
        <v>169580</v>
      </c>
      <c r="I224" s="163">
        <v>992941.03259429603</v>
      </c>
      <c r="J224" s="163">
        <v>992941.03259429603</v>
      </c>
      <c r="K224" s="163">
        <v>0</v>
      </c>
      <c r="L224" s="163">
        <v>723775.73496442905</v>
      </c>
      <c r="M224" s="163">
        <v>93897</v>
      </c>
      <c r="N224" s="163">
        <v>15355</v>
      </c>
      <c r="O224" s="163">
        <v>33871</v>
      </c>
      <c r="P224" s="163">
        <v>580653</v>
      </c>
      <c r="Q224" s="163">
        <v>612330</v>
      </c>
      <c r="R224" s="163">
        <v>140219</v>
      </c>
      <c r="S224" s="163">
        <v>1310511</v>
      </c>
      <c r="T224" s="163">
        <v>7399</v>
      </c>
      <c r="U224" s="163">
        <v>66000</v>
      </c>
      <c r="V224" s="163">
        <v>1518</v>
      </c>
      <c r="W224" s="163">
        <v>578</v>
      </c>
      <c r="X224" s="163">
        <v>18</v>
      </c>
      <c r="Y224" s="163">
        <v>244</v>
      </c>
      <c r="Z224" s="163">
        <v>1668</v>
      </c>
      <c r="AA224" s="163">
        <v>747</v>
      </c>
      <c r="AB224" s="163">
        <v>809</v>
      </c>
      <c r="AC224" s="163">
        <v>1053</v>
      </c>
      <c r="AD224" s="163">
        <v>150</v>
      </c>
      <c r="AE224" s="163">
        <v>75</v>
      </c>
      <c r="AF224" s="163">
        <v>250</v>
      </c>
      <c r="AG224" s="163">
        <v>227</v>
      </c>
      <c r="AH224" s="163">
        <v>27901000</v>
      </c>
      <c r="AI224" s="163">
        <v>28472000</v>
      </c>
    </row>
    <row r="225" spans="1:35" x14ac:dyDescent="0.2">
      <c r="A225" t="s">
        <v>628</v>
      </c>
      <c r="B225" t="s">
        <v>151</v>
      </c>
      <c r="C225" s="163">
        <v>46267158.530974984</v>
      </c>
      <c r="D225" s="163">
        <v>28359910.530974984</v>
      </c>
      <c r="E225" s="163">
        <v>13565680</v>
      </c>
      <c r="F225" s="163">
        <v>5472006.4331988599</v>
      </c>
      <c r="G225" s="163">
        <v>4771947.4331988599</v>
      </c>
      <c r="H225" s="163">
        <v>700059</v>
      </c>
      <c r="I225" s="163">
        <v>4242133.9164033104</v>
      </c>
      <c r="J225" s="163">
        <v>4242133.9164033104</v>
      </c>
      <c r="K225" s="163">
        <v>0</v>
      </c>
      <c r="L225" s="163">
        <v>3851539.5047207898</v>
      </c>
      <c r="M225" s="163">
        <v>642437</v>
      </c>
      <c r="N225" s="163">
        <v>57234</v>
      </c>
      <c r="O225" s="163">
        <v>76578</v>
      </c>
      <c r="P225" s="163">
        <v>3075291</v>
      </c>
      <c r="Q225" s="163">
        <v>2754304</v>
      </c>
      <c r="R225" s="163">
        <v>1587264</v>
      </c>
      <c r="S225" s="163">
        <v>8061783</v>
      </c>
      <c r="T225" s="163">
        <v>22169</v>
      </c>
      <c r="U225" s="163">
        <v>56000</v>
      </c>
      <c r="V225" s="163">
        <v>3599</v>
      </c>
      <c r="W225" s="163">
        <v>1872</v>
      </c>
      <c r="X225" s="163">
        <v>0</v>
      </c>
      <c r="Y225" s="163">
        <v>0</v>
      </c>
      <c r="Z225" s="163">
        <v>210</v>
      </c>
      <c r="AA225" s="163">
        <v>499</v>
      </c>
      <c r="AB225" s="163">
        <v>3888</v>
      </c>
      <c r="AC225" s="163">
        <v>2772</v>
      </c>
      <c r="AD225" s="163">
        <v>593</v>
      </c>
      <c r="AE225" s="163">
        <v>200</v>
      </c>
      <c r="AF225" s="163">
        <v>447</v>
      </c>
      <c r="AG225" s="163">
        <v>53</v>
      </c>
      <c r="AH225" s="163">
        <v>85551000</v>
      </c>
      <c r="AI225" s="163">
        <v>86370000</v>
      </c>
    </row>
    <row r="226" spans="1:35" x14ac:dyDescent="0.2">
      <c r="A226" t="s">
        <v>635</v>
      </c>
      <c r="B226" t="s">
        <v>514</v>
      </c>
      <c r="C226" s="163">
        <v>69677008.545805514</v>
      </c>
      <c r="D226" s="163">
        <v>44027052.545805514</v>
      </c>
      <c r="E226" s="163">
        <v>22078798</v>
      </c>
      <c r="F226" s="163">
        <v>10224900.822707601</v>
      </c>
      <c r="G226" s="163">
        <v>8696839.8227076009</v>
      </c>
      <c r="H226" s="163">
        <v>1528061</v>
      </c>
      <c r="I226" s="163">
        <v>5439261.6706453096</v>
      </c>
      <c r="J226" s="163">
        <v>5439261.6706453096</v>
      </c>
      <c r="K226" s="163">
        <v>0</v>
      </c>
      <c r="L226" s="163">
        <v>6414635.3942514397</v>
      </c>
      <c r="M226" s="163">
        <v>989540</v>
      </c>
      <c r="N226" s="163">
        <v>62818</v>
      </c>
      <c r="O226" s="163">
        <v>119285</v>
      </c>
      <c r="P226" s="163">
        <v>5242993</v>
      </c>
      <c r="Q226" s="163">
        <v>2955710</v>
      </c>
      <c r="R226" s="163">
        <v>615448</v>
      </c>
      <c r="S226" s="163">
        <v>12760529</v>
      </c>
      <c r="T226" s="163">
        <v>27403</v>
      </c>
      <c r="U226" s="163">
        <v>898000</v>
      </c>
      <c r="V226" s="163">
        <v>5263</v>
      </c>
      <c r="W226" s="163">
        <v>5972</v>
      </c>
      <c r="X226" s="163">
        <v>0</v>
      </c>
      <c r="Y226" s="163">
        <v>0</v>
      </c>
      <c r="Z226" s="163">
        <v>305</v>
      </c>
      <c r="AA226" s="163">
        <v>0</v>
      </c>
      <c r="AB226" s="163">
        <v>3094</v>
      </c>
      <c r="AC226" s="163">
        <v>5362</v>
      </c>
      <c r="AD226" s="163">
        <v>800</v>
      </c>
      <c r="AE226" s="163">
        <v>572</v>
      </c>
      <c r="AF226" s="163">
        <v>1311</v>
      </c>
      <c r="AG226" s="163">
        <v>200</v>
      </c>
      <c r="AH226" s="163">
        <v>115089000</v>
      </c>
      <c r="AI226" s="163">
        <v>121093000</v>
      </c>
    </row>
    <row r="227" spans="1:35" x14ac:dyDescent="0.2">
      <c r="A227" t="s">
        <v>633</v>
      </c>
      <c r="B227" t="s">
        <v>379</v>
      </c>
      <c r="C227" s="163">
        <v>29969702.676498827</v>
      </c>
      <c r="D227" s="163">
        <v>19141625.676498827</v>
      </c>
      <c r="E227" s="163">
        <v>8651731</v>
      </c>
      <c r="F227" s="163">
        <v>3588111.72205918</v>
      </c>
      <c r="G227" s="163">
        <v>3191193.72205918</v>
      </c>
      <c r="H227" s="163">
        <v>396918</v>
      </c>
      <c r="I227" s="163">
        <v>3190937.0269887699</v>
      </c>
      <c r="J227" s="163">
        <v>3190937.0269887699</v>
      </c>
      <c r="K227" s="163">
        <v>0</v>
      </c>
      <c r="L227" s="163">
        <v>1872681.7608283199</v>
      </c>
      <c r="M227" s="163">
        <v>64814</v>
      </c>
      <c r="N227" s="163">
        <v>36295</v>
      </c>
      <c r="O227" s="163">
        <v>67742</v>
      </c>
      <c r="P227" s="163">
        <v>1703832</v>
      </c>
      <c r="Q227" s="163">
        <v>1971239</v>
      </c>
      <c r="R227" s="163">
        <v>205107</v>
      </c>
      <c r="S227" s="163">
        <v>4208843</v>
      </c>
      <c r="T227" s="163">
        <v>1996</v>
      </c>
      <c r="U227" s="163">
        <v>59000</v>
      </c>
      <c r="V227" s="163">
        <v>5076</v>
      </c>
      <c r="W227" s="163">
        <v>2267</v>
      </c>
      <c r="X227" s="163">
        <v>3100</v>
      </c>
      <c r="Y227" s="163">
        <v>2953</v>
      </c>
      <c r="Z227" s="163">
        <v>1836</v>
      </c>
      <c r="AA227" s="163">
        <v>1061</v>
      </c>
      <c r="AB227" s="163">
        <v>2371</v>
      </c>
      <c r="AC227" s="163">
        <v>2924</v>
      </c>
      <c r="AD227" s="163">
        <v>489</v>
      </c>
      <c r="AE227" s="163">
        <v>179</v>
      </c>
      <c r="AF227" s="163">
        <v>700</v>
      </c>
      <c r="AG227" s="163">
        <v>79</v>
      </c>
      <c r="AH227" s="163">
        <v>70465000</v>
      </c>
      <c r="AI227" s="163">
        <v>73079000</v>
      </c>
    </row>
    <row r="228" spans="1:35" x14ac:dyDescent="0.2">
      <c r="A228" t="s">
        <v>633</v>
      </c>
      <c r="B228" t="s">
        <v>380</v>
      </c>
      <c r="C228" s="163">
        <v>20081883.302949347</v>
      </c>
      <c r="D228" s="163">
        <v>12987603.302949347</v>
      </c>
      <c r="E228" s="163">
        <v>5784657</v>
      </c>
      <c r="F228" s="163">
        <v>2741258.7055272502</v>
      </c>
      <c r="G228" s="163">
        <v>2405747.7055272502</v>
      </c>
      <c r="H228" s="163">
        <v>335511</v>
      </c>
      <c r="I228" s="163">
        <v>1930662.8354885599</v>
      </c>
      <c r="J228" s="163">
        <v>1930662.8354885599</v>
      </c>
      <c r="K228" s="163">
        <v>0</v>
      </c>
      <c r="L228" s="163">
        <v>1112735.4942442901</v>
      </c>
      <c r="M228" s="163">
        <v>40283</v>
      </c>
      <c r="N228" s="163">
        <v>22335</v>
      </c>
      <c r="O228" s="163">
        <v>53015</v>
      </c>
      <c r="P228" s="163">
        <v>997102</v>
      </c>
      <c r="Q228" s="163">
        <v>1176723</v>
      </c>
      <c r="R228" s="163">
        <v>132900</v>
      </c>
      <c r="S228" s="163">
        <v>2220210</v>
      </c>
      <c r="T228" s="163">
        <v>1220</v>
      </c>
      <c r="U228" s="163">
        <v>51000</v>
      </c>
      <c r="V228" s="163">
        <v>1674</v>
      </c>
      <c r="W228" s="163">
        <v>1135</v>
      </c>
      <c r="X228" s="163">
        <v>6</v>
      </c>
      <c r="Y228" s="163">
        <v>1748</v>
      </c>
      <c r="Z228" s="163">
        <v>458</v>
      </c>
      <c r="AA228" s="163">
        <v>250</v>
      </c>
      <c r="AB228" s="163">
        <v>2214</v>
      </c>
      <c r="AC228" s="163">
        <v>1913</v>
      </c>
      <c r="AD228" s="163">
        <v>253</v>
      </c>
      <c r="AE228" s="163">
        <v>0</v>
      </c>
      <c r="AF228" s="163">
        <v>447</v>
      </c>
      <c r="AG228" s="163">
        <v>58</v>
      </c>
      <c r="AH228" s="163">
        <v>34766000</v>
      </c>
      <c r="AI228" s="163">
        <v>34799000</v>
      </c>
    </row>
    <row r="229" spans="1:35" x14ac:dyDescent="0.2">
      <c r="A229" t="s">
        <v>629</v>
      </c>
      <c r="B229" t="s">
        <v>518</v>
      </c>
      <c r="C229" s="163">
        <v>25103922.269553646</v>
      </c>
      <c r="D229" s="163">
        <v>16259835.269553646</v>
      </c>
      <c r="E229" s="163">
        <v>7190790</v>
      </c>
      <c r="F229" s="163">
        <v>2920260.4328145301</v>
      </c>
      <c r="G229" s="163">
        <v>2500296.4328145301</v>
      </c>
      <c r="H229" s="163">
        <v>419964</v>
      </c>
      <c r="I229" s="163">
        <v>2433622.0681965402</v>
      </c>
      <c r="J229" s="163">
        <v>2433622.0681965402</v>
      </c>
      <c r="K229" s="163">
        <v>0</v>
      </c>
      <c r="L229" s="163">
        <v>1836907.6779656</v>
      </c>
      <c r="M229" s="163">
        <v>297605</v>
      </c>
      <c r="N229" s="163">
        <v>23731</v>
      </c>
      <c r="O229" s="163">
        <v>78051</v>
      </c>
      <c r="P229" s="163">
        <v>1437521</v>
      </c>
      <c r="Q229" s="163">
        <v>1482716</v>
      </c>
      <c r="R229" s="163">
        <v>170581</v>
      </c>
      <c r="S229" s="163">
        <v>4380904</v>
      </c>
      <c r="T229" s="163">
        <v>3269</v>
      </c>
      <c r="U229" s="163">
        <v>55000</v>
      </c>
      <c r="V229" s="163">
        <v>4459</v>
      </c>
      <c r="W229" s="163">
        <v>1305</v>
      </c>
      <c r="X229" s="163">
        <v>0</v>
      </c>
      <c r="Y229" s="163">
        <v>0</v>
      </c>
      <c r="Z229" s="163">
        <v>24</v>
      </c>
      <c r="AA229" s="163">
        <v>78</v>
      </c>
      <c r="AB229" s="163">
        <v>2278</v>
      </c>
      <c r="AC229" s="163">
        <v>1751</v>
      </c>
      <c r="AD229" s="163">
        <v>412</v>
      </c>
      <c r="AE229" s="163">
        <v>93</v>
      </c>
      <c r="AF229" s="163">
        <v>712</v>
      </c>
      <c r="AG229" s="163">
        <v>65</v>
      </c>
      <c r="AH229" s="163">
        <v>69966000</v>
      </c>
      <c r="AI229" s="163">
        <v>66147000</v>
      </c>
    </row>
    <row r="230" spans="1:35" x14ac:dyDescent="0.2">
      <c r="A230" t="s">
        <v>631</v>
      </c>
      <c r="B230" t="s">
        <v>255</v>
      </c>
      <c r="C230" s="163">
        <v>35679784.230233043</v>
      </c>
      <c r="D230" s="163">
        <v>20887209.230233043</v>
      </c>
      <c r="E230" s="163">
        <v>12556011</v>
      </c>
      <c r="F230" s="163">
        <v>5297101.0478056297</v>
      </c>
      <c r="G230" s="163">
        <v>4602295.0478056297</v>
      </c>
      <c r="H230" s="163">
        <v>694806</v>
      </c>
      <c r="I230" s="163">
        <v>3397529.0226678001</v>
      </c>
      <c r="J230" s="163">
        <v>3397529.0226678001</v>
      </c>
      <c r="K230" s="163">
        <v>0</v>
      </c>
      <c r="L230" s="163">
        <v>3861380.7166300602</v>
      </c>
      <c r="M230" s="163">
        <v>142003</v>
      </c>
      <c r="N230" s="163">
        <v>44670</v>
      </c>
      <c r="O230" s="163">
        <v>117812</v>
      </c>
      <c r="P230" s="163">
        <v>3556896</v>
      </c>
      <c r="Q230" s="163">
        <v>1983185</v>
      </c>
      <c r="R230" s="163">
        <v>253379</v>
      </c>
      <c r="S230" s="163">
        <v>3912975</v>
      </c>
      <c r="T230" s="163">
        <v>7395</v>
      </c>
      <c r="U230" s="163">
        <v>92000</v>
      </c>
      <c r="V230" s="163">
        <v>2741</v>
      </c>
      <c r="W230" s="163">
        <v>1430</v>
      </c>
      <c r="X230" s="163">
        <v>0</v>
      </c>
      <c r="Y230" s="163">
        <v>1500</v>
      </c>
      <c r="Z230" s="163">
        <v>685</v>
      </c>
      <c r="AA230" s="163">
        <v>622</v>
      </c>
      <c r="AB230" s="163">
        <v>1914</v>
      </c>
      <c r="AC230" s="163">
        <v>2030</v>
      </c>
      <c r="AD230" s="163">
        <v>492</v>
      </c>
      <c r="AE230" s="163">
        <v>385</v>
      </c>
      <c r="AF230" s="163">
        <v>829</v>
      </c>
      <c r="AG230" s="163">
        <v>77</v>
      </c>
      <c r="AH230" s="163">
        <v>51980000</v>
      </c>
      <c r="AI230" s="163">
        <v>52638000</v>
      </c>
    </row>
    <row r="231" spans="1:35" x14ac:dyDescent="0.2">
      <c r="A231" t="s">
        <v>638</v>
      </c>
      <c r="B231" t="s">
        <v>496</v>
      </c>
      <c r="C231" s="163">
        <v>20897875.762174636</v>
      </c>
      <c r="D231" s="163">
        <v>12118773.762174636</v>
      </c>
      <c r="E231" s="163">
        <v>7210655</v>
      </c>
      <c r="F231" s="163">
        <v>2209070.72893494</v>
      </c>
      <c r="G231" s="163">
        <v>2130696.72893494</v>
      </c>
      <c r="H231" s="163">
        <v>78374</v>
      </c>
      <c r="I231" s="163">
        <v>2443370.9179511201</v>
      </c>
      <c r="J231" s="163">
        <v>2443370.9179511201</v>
      </c>
      <c r="K231" s="163">
        <v>0</v>
      </c>
      <c r="L231" s="163">
        <v>2558213.3882564502</v>
      </c>
      <c r="M231" s="163">
        <v>191686</v>
      </c>
      <c r="N231" s="163">
        <v>25127</v>
      </c>
      <c r="O231" s="163">
        <v>38289</v>
      </c>
      <c r="P231" s="163">
        <v>2303111</v>
      </c>
      <c r="Q231" s="163">
        <v>1427314</v>
      </c>
      <c r="R231" s="163">
        <v>141133</v>
      </c>
      <c r="S231" s="163">
        <v>2681511</v>
      </c>
      <c r="T231" s="163">
        <v>3717</v>
      </c>
      <c r="U231" s="163">
        <v>51000</v>
      </c>
      <c r="V231" s="163">
        <v>2205</v>
      </c>
      <c r="W231" s="163">
        <v>1011</v>
      </c>
      <c r="X231" s="163">
        <v>0</v>
      </c>
      <c r="Y231" s="163">
        <v>0</v>
      </c>
      <c r="Z231" s="163">
        <v>64</v>
      </c>
      <c r="AA231" s="163">
        <v>40</v>
      </c>
      <c r="AB231" s="163">
        <v>2096</v>
      </c>
      <c r="AC231" s="163">
        <v>1229</v>
      </c>
      <c r="AD231" s="163">
        <v>380</v>
      </c>
      <c r="AE231" s="163">
        <v>102</v>
      </c>
      <c r="AF231" s="163">
        <v>412</v>
      </c>
      <c r="AG231" s="163">
        <v>85</v>
      </c>
      <c r="AH231" s="163">
        <v>34755000</v>
      </c>
      <c r="AI231" s="163">
        <v>37670000</v>
      </c>
    </row>
    <row r="232" spans="1:35" x14ac:dyDescent="0.2">
      <c r="A232" t="s">
        <v>633</v>
      </c>
      <c r="B232" t="s">
        <v>381</v>
      </c>
      <c r="C232" s="163">
        <v>24570719.649606906</v>
      </c>
      <c r="D232" s="163">
        <v>17055422.649606906</v>
      </c>
      <c r="E232" s="163">
        <v>6198955</v>
      </c>
      <c r="F232" s="163">
        <v>3290901.03583861</v>
      </c>
      <c r="G232" s="163">
        <v>2978813.03583861</v>
      </c>
      <c r="H232" s="163">
        <v>312088</v>
      </c>
      <c r="I232" s="163">
        <v>2071466.3596083</v>
      </c>
      <c r="J232" s="163">
        <v>2071466.3596083</v>
      </c>
      <c r="K232" s="163">
        <v>0</v>
      </c>
      <c r="L232" s="163">
        <v>836587.95112325496</v>
      </c>
      <c r="M232" s="163">
        <v>90280</v>
      </c>
      <c r="N232" s="163">
        <v>25127</v>
      </c>
      <c r="O232" s="163">
        <v>50070</v>
      </c>
      <c r="P232" s="163">
        <v>671111</v>
      </c>
      <c r="Q232" s="163">
        <v>1222074</v>
      </c>
      <c r="R232" s="163">
        <v>94268</v>
      </c>
      <c r="S232" s="163">
        <v>3928565</v>
      </c>
      <c r="T232" s="163">
        <v>632</v>
      </c>
      <c r="U232" s="163">
        <v>51000</v>
      </c>
      <c r="V232" s="163">
        <v>4560</v>
      </c>
      <c r="W232" s="163">
        <v>1706</v>
      </c>
      <c r="X232" s="163">
        <v>0</v>
      </c>
      <c r="Y232" s="163">
        <v>1742</v>
      </c>
      <c r="Z232" s="163">
        <v>201</v>
      </c>
      <c r="AA232" s="163">
        <v>106</v>
      </c>
      <c r="AB232" s="163">
        <v>2375</v>
      </c>
      <c r="AC232" s="163">
        <v>2549</v>
      </c>
      <c r="AD232" s="163">
        <v>464</v>
      </c>
      <c r="AE232" s="163">
        <v>0</v>
      </c>
      <c r="AF232" s="163">
        <v>460</v>
      </c>
      <c r="AG232" s="163">
        <v>55</v>
      </c>
      <c r="AH232" s="163">
        <v>64316000</v>
      </c>
      <c r="AI232" s="163">
        <v>66401000</v>
      </c>
    </row>
    <row r="233" spans="1:35" x14ac:dyDescent="0.2">
      <c r="A233" t="s">
        <v>629</v>
      </c>
      <c r="B233" t="s">
        <v>454</v>
      </c>
      <c r="C233" s="163">
        <v>21645549.710693151</v>
      </c>
      <c r="D233" s="163">
        <v>13456786.710693151</v>
      </c>
      <c r="E233" s="163">
        <v>6889829</v>
      </c>
      <c r="F233" s="163">
        <v>2154576.7255249298</v>
      </c>
      <c r="G233" s="163">
        <v>1987135.7255249298</v>
      </c>
      <c r="H233" s="163">
        <v>167441</v>
      </c>
      <c r="I233" s="163">
        <v>2026387.2380180799</v>
      </c>
      <c r="J233" s="163">
        <v>2026387.2380180799</v>
      </c>
      <c r="K233" s="163">
        <v>0</v>
      </c>
      <c r="L233" s="163">
        <v>2708864.8698134301</v>
      </c>
      <c r="M233" s="163">
        <v>46059</v>
      </c>
      <c r="N233" s="163">
        <v>8376</v>
      </c>
      <c r="O233" s="163">
        <v>50070</v>
      </c>
      <c r="P233" s="163">
        <v>2604360</v>
      </c>
      <c r="Q233" s="163">
        <v>1171848</v>
      </c>
      <c r="R233" s="163">
        <v>127086</v>
      </c>
      <c r="S233" s="163">
        <v>1954798</v>
      </c>
      <c r="T233" s="163">
        <v>3371</v>
      </c>
      <c r="U233" s="163">
        <v>49000</v>
      </c>
      <c r="V233" s="163">
        <v>3120</v>
      </c>
      <c r="W233" s="163">
        <v>2590</v>
      </c>
      <c r="X233" s="163">
        <v>0</v>
      </c>
      <c r="Y233" s="163">
        <v>0</v>
      </c>
      <c r="Z233" s="163">
        <v>258</v>
      </c>
      <c r="AA233" s="163">
        <v>72</v>
      </c>
      <c r="AB233" s="163">
        <v>1421</v>
      </c>
      <c r="AC233" s="163">
        <v>1296</v>
      </c>
      <c r="AD233" s="163">
        <v>312</v>
      </c>
      <c r="AE233" s="163">
        <v>0</v>
      </c>
      <c r="AF233" s="163">
        <v>524</v>
      </c>
      <c r="AG233" s="163">
        <v>85</v>
      </c>
      <c r="AH233" s="163">
        <v>40101000</v>
      </c>
      <c r="AI233" s="163">
        <v>39591000</v>
      </c>
    </row>
    <row r="234" spans="1:35" x14ac:dyDescent="0.2">
      <c r="A234" t="s">
        <v>629</v>
      </c>
      <c r="B234" t="s">
        <v>455</v>
      </c>
      <c r="C234" s="163">
        <v>33483424.008351546</v>
      </c>
      <c r="D234" s="163">
        <v>19712518.008351546</v>
      </c>
      <c r="E234" s="163">
        <v>11519012</v>
      </c>
      <c r="F234" s="163">
        <v>4511310.8519670004</v>
      </c>
      <c r="G234" s="163">
        <v>3360315.8594670007</v>
      </c>
      <c r="H234" s="163">
        <v>1150994.9924999999</v>
      </c>
      <c r="I234" s="163">
        <v>3427474.1103458698</v>
      </c>
      <c r="J234" s="163">
        <v>3427474.1103458698</v>
      </c>
      <c r="K234" s="163">
        <v>0</v>
      </c>
      <c r="L234" s="163">
        <v>3580227.4061750402</v>
      </c>
      <c r="M234" s="163">
        <v>92445</v>
      </c>
      <c r="N234" s="163">
        <v>30711</v>
      </c>
      <c r="O234" s="163">
        <v>103086</v>
      </c>
      <c r="P234" s="163">
        <v>3353986</v>
      </c>
      <c r="Q234" s="163">
        <v>2017409</v>
      </c>
      <c r="R234" s="163">
        <v>234485</v>
      </c>
      <c r="S234" s="163">
        <v>3864714</v>
      </c>
      <c r="T234" s="163">
        <v>3433</v>
      </c>
      <c r="U234" s="163">
        <v>207000</v>
      </c>
      <c r="V234" s="163">
        <v>4063</v>
      </c>
      <c r="W234" s="163">
        <v>1820</v>
      </c>
      <c r="X234" s="163">
        <v>976</v>
      </c>
      <c r="Y234" s="163">
        <v>880</v>
      </c>
      <c r="Z234" s="163">
        <v>661</v>
      </c>
      <c r="AA234" s="163">
        <v>231</v>
      </c>
      <c r="AB234" s="163">
        <v>2512</v>
      </c>
      <c r="AC234" s="163">
        <v>1975</v>
      </c>
      <c r="AD234" s="163">
        <v>542</v>
      </c>
      <c r="AE234" s="163">
        <v>0</v>
      </c>
      <c r="AF234" s="163">
        <v>739</v>
      </c>
      <c r="AG234" s="163">
        <v>67</v>
      </c>
      <c r="AH234" s="163">
        <v>65732000</v>
      </c>
      <c r="AI234" s="163">
        <v>66252000</v>
      </c>
    </row>
    <row r="235" spans="1:35" x14ac:dyDescent="0.2">
      <c r="A235" t="s">
        <v>637</v>
      </c>
      <c r="B235" t="s">
        <v>170</v>
      </c>
      <c r="C235" s="163">
        <v>85515222.645007789</v>
      </c>
      <c r="D235" s="163">
        <v>40879225.645007789</v>
      </c>
      <c r="E235" s="163">
        <v>37248477</v>
      </c>
      <c r="F235" s="163">
        <v>12319490.093568999</v>
      </c>
      <c r="G235" s="163">
        <v>8987882.0935689993</v>
      </c>
      <c r="H235" s="163">
        <v>3331608</v>
      </c>
      <c r="I235" s="163">
        <v>7898925.9920955198</v>
      </c>
      <c r="J235" s="163">
        <v>7898925.9920955198</v>
      </c>
      <c r="K235" s="163">
        <v>0</v>
      </c>
      <c r="L235" s="163">
        <v>17030060.830220498</v>
      </c>
      <c r="M235" s="163">
        <v>2352791</v>
      </c>
      <c r="N235" s="163">
        <v>127031</v>
      </c>
      <c r="O235" s="163">
        <v>254769</v>
      </c>
      <c r="P235" s="163">
        <v>14295470</v>
      </c>
      <c r="Q235" s="163">
        <v>4591043</v>
      </c>
      <c r="R235" s="163">
        <v>2796477</v>
      </c>
      <c r="S235" s="163">
        <v>16811147</v>
      </c>
      <c r="T235" s="163">
        <v>21942</v>
      </c>
      <c r="U235" s="163">
        <v>167000</v>
      </c>
      <c r="V235" s="163">
        <v>6237</v>
      </c>
      <c r="W235" s="163">
        <v>6036</v>
      </c>
      <c r="X235" s="163">
        <v>0</v>
      </c>
      <c r="Y235" s="163">
        <v>919</v>
      </c>
      <c r="Z235" s="163">
        <v>60</v>
      </c>
      <c r="AA235" s="163">
        <v>260</v>
      </c>
      <c r="AB235" s="163">
        <v>4628</v>
      </c>
      <c r="AC235" s="163">
        <v>3549</v>
      </c>
      <c r="AD235" s="163">
        <v>874</v>
      </c>
      <c r="AE235" s="163">
        <v>175</v>
      </c>
      <c r="AF235" s="163">
        <v>710</v>
      </c>
      <c r="AG235" s="163">
        <v>76</v>
      </c>
      <c r="AH235" s="163">
        <v>131172000</v>
      </c>
      <c r="AI235" s="163">
        <v>132889000</v>
      </c>
    </row>
    <row r="236" spans="1:35" x14ac:dyDescent="0.2">
      <c r="A236" t="s">
        <v>631</v>
      </c>
      <c r="B236" t="s">
        <v>256</v>
      </c>
      <c r="C236" s="163">
        <v>28039593.248204738</v>
      </c>
      <c r="D236" s="163">
        <v>16812796.248204738</v>
      </c>
      <c r="E236" s="163">
        <v>9428573</v>
      </c>
      <c r="F236" s="163">
        <v>4160188.64749383</v>
      </c>
      <c r="G236" s="163">
        <v>3434337.64749383</v>
      </c>
      <c r="H236" s="163">
        <v>725851</v>
      </c>
      <c r="I236" s="163">
        <v>2730074.1542784101</v>
      </c>
      <c r="J236" s="163">
        <v>2730074.1542784101</v>
      </c>
      <c r="K236" s="163">
        <v>0</v>
      </c>
      <c r="L236" s="163">
        <v>2538310.0802211598</v>
      </c>
      <c r="M236" s="163">
        <v>125511</v>
      </c>
      <c r="N236" s="163">
        <v>40482</v>
      </c>
      <c r="O236" s="163">
        <v>85414</v>
      </c>
      <c r="P236" s="163">
        <v>2286903</v>
      </c>
      <c r="Q236" s="163">
        <v>1601732</v>
      </c>
      <c r="R236" s="163">
        <v>196492</v>
      </c>
      <c r="S236" s="163">
        <v>3731458</v>
      </c>
      <c r="T236" s="163">
        <v>2135</v>
      </c>
      <c r="U236" s="163">
        <v>185000</v>
      </c>
      <c r="V236" s="163">
        <v>2793</v>
      </c>
      <c r="W236" s="163">
        <v>1722</v>
      </c>
      <c r="X236" s="163">
        <v>0</v>
      </c>
      <c r="Y236" s="163">
        <v>1619</v>
      </c>
      <c r="Z236" s="163">
        <v>531</v>
      </c>
      <c r="AA236" s="163">
        <v>35</v>
      </c>
      <c r="AB236" s="163">
        <v>1518</v>
      </c>
      <c r="AC236" s="163">
        <v>1844</v>
      </c>
      <c r="AD236" s="163">
        <v>341</v>
      </c>
      <c r="AE236" s="163">
        <v>517</v>
      </c>
      <c r="AF236" s="163">
        <v>704</v>
      </c>
      <c r="AG236" s="163">
        <v>49</v>
      </c>
      <c r="AH236" s="163">
        <v>55795000</v>
      </c>
      <c r="AI236" s="163">
        <v>53751000</v>
      </c>
    </row>
    <row r="237" spans="1:35" x14ac:dyDescent="0.2">
      <c r="A237" t="s">
        <v>634</v>
      </c>
      <c r="B237" t="s">
        <v>211</v>
      </c>
      <c r="C237" s="163">
        <v>49742710.888027847</v>
      </c>
      <c r="D237" s="163">
        <v>28459290.888027847</v>
      </c>
      <c r="E237" s="163">
        <v>18186519</v>
      </c>
      <c r="F237" s="163">
        <v>6299722.8529128795</v>
      </c>
      <c r="G237" s="163">
        <v>5372619.8529128795</v>
      </c>
      <c r="H237" s="163">
        <v>927103</v>
      </c>
      <c r="I237" s="163">
        <v>4538443.7587190503</v>
      </c>
      <c r="J237" s="163">
        <v>4538443.7587190503</v>
      </c>
      <c r="K237" s="163">
        <v>0</v>
      </c>
      <c r="L237" s="163">
        <v>7348352.2959148204</v>
      </c>
      <c r="M237" s="163">
        <v>641484</v>
      </c>
      <c r="N237" s="163">
        <v>73985</v>
      </c>
      <c r="O237" s="163">
        <v>150211</v>
      </c>
      <c r="P237" s="163">
        <v>6482672</v>
      </c>
      <c r="Q237" s="163">
        <v>2721953</v>
      </c>
      <c r="R237" s="163">
        <v>374948</v>
      </c>
      <c r="S237" s="163">
        <v>8619413</v>
      </c>
      <c r="T237" s="163">
        <v>16996</v>
      </c>
      <c r="U237" s="163">
        <v>233000</v>
      </c>
      <c r="V237" s="163">
        <v>3670</v>
      </c>
      <c r="W237" s="163">
        <v>3395</v>
      </c>
      <c r="X237" s="163">
        <v>777</v>
      </c>
      <c r="Y237" s="163">
        <v>21</v>
      </c>
      <c r="Z237" s="163">
        <v>47</v>
      </c>
      <c r="AA237" s="163">
        <v>318</v>
      </c>
      <c r="AB237" s="163">
        <v>2932</v>
      </c>
      <c r="AC237" s="163">
        <v>2934</v>
      </c>
      <c r="AD237" s="163">
        <v>551</v>
      </c>
      <c r="AE237" s="163">
        <v>307</v>
      </c>
      <c r="AF237" s="163">
        <v>719</v>
      </c>
      <c r="AG237" s="163">
        <v>71</v>
      </c>
      <c r="AH237" s="163">
        <v>81730000</v>
      </c>
      <c r="AI237" s="163">
        <v>82527000</v>
      </c>
    </row>
    <row r="238" spans="1:35" x14ac:dyDescent="0.2">
      <c r="A238" t="s">
        <v>634</v>
      </c>
      <c r="B238" t="s">
        <v>212</v>
      </c>
      <c r="C238" s="163">
        <v>23563796.196897734</v>
      </c>
      <c r="D238" s="163">
        <v>14066928.196897734</v>
      </c>
      <c r="E238" s="163">
        <v>7977197</v>
      </c>
      <c r="F238" s="163">
        <v>3391094.2328337999</v>
      </c>
      <c r="G238" s="163">
        <v>2875036.2328337999</v>
      </c>
      <c r="H238" s="163">
        <v>516058</v>
      </c>
      <c r="I238" s="163">
        <v>2486923.7209802601</v>
      </c>
      <c r="J238" s="163">
        <v>2486923.7209802601</v>
      </c>
      <c r="K238" s="163">
        <v>0</v>
      </c>
      <c r="L238" s="163">
        <v>2099179.1489160801</v>
      </c>
      <c r="M238" s="163">
        <v>45451</v>
      </c>
      <c r="N238" s="163">
        <v>23731</v>
      </c>
      <c r="O238" s="163">
        <v>57433</v>
      </c>
      <c r="P238" s="163">
        <v>1972563</v>
      </c>
      <c r="Q238" s="163">
        <v>1358511</v>
      </c>
      <c r="R238" s="163">
        <v>161160</v>
      </c>
      <c r="S238" s="163">
        <v>2599898</v>
      </c>
      <c r="T238" s="163">
        <v>1883</v>
      </c>
      <c r="U238" s="163">
        <v>59000</v>
      </c>
      <c r="V238" s="163">
        <v>2856</v>
      </c>
      <c r="W238" s="163">
        <v>1277</v>
      </c>
      <c r="X238" s="163">
        <v>3</v>
      </c>
      <c r="Y238" s="163">
        <v>0</v>
      </c>
      <c r="Z238" s="163">
        <v>71</v>
      </c>
      <c r="AA238" s="163">
        <v>35</v>
      </c>
      <c r="AB238" s="163">
        <v>1663</v>
      </c>
      <c r="AC238" s="163">
        <v>1163</v>
      </c>
      <c r="AD238" s="163">
        <v>280</v>
      </c>
      <c r="AE238" s="163">
        <v>58</v>
      </c>
      <c r="AF238" s="163">
        <v>275</v>
      </c>
      <c r="AG238" s="163">
        <v>36</v>
      </c>
      <c r="AH238" s="163">
        <v>40778000</v>
      </c>
      <c r="AI238" s="163">
        <v>40679000</v>
      </c>
    </row>
    <row r="239" spans="1:35" x14ac:dyDescent="0.2">
      <c r="A239" t="s">
        <v>634</v>
      </c>
      <c r="B239" t="s">
        <v>213</v>
      </c>
      <c r="C239" s="163">
        <v>26367890.940577298</v>
      </c>
      <c r="D239" s="163">
        <v>16103355.940577298</v>
      </c>
      <c r="E239" s="163">
        <v>8876780</v>
      </c>
      <c r="F239" s="163">
        <v>3501483.9298690599</v>
      </c>
      <c r="G239" s="163">
        <v>2819152.9298690599</v>
      </c>
      <c r="H239" s="163">
        <v>682331</v>
      </c>
      <c r="I239" s="163">
        <v>2222103.6861248701</v>
      </c>
      <c r="J239" s="163">
        <v>2222103.6861248701</v>
      </c>
      <c r="K239" s="163">
        <v>0</v>
      </c>
      <c r="L239" s="163">
        <v>3153192.0610158201</v>
      </c>
      <c r="M239" s="163">
        <v>144454</v>
      </c>
      <c r="N239" s="163">
        <v>36295</v>
      </c>
      <c r="O239" s="163">
        <v>70687</v>
      </c>
      <c r="P239" s="163">
        <v>2901756</v>
      </c>
      <c r="Q239" s="163">
        <v>1223570</v>
      </c>
      <c r="R239" s="163">
        <v>164185</v>
      </c>
      <c r="S239" s="163">
        <v>2863646</v>
      </c>
      <c r="T239" s="163">
        <v>6012</v>
      </c>
      <c r="U239" s="163">
        <v>55000</v>
      </c>
      <c r="V239" s="163">
        <v>2037</v>
      </c>
      <c r="W239" s="163">
        <v>1630</v>
      </c>
      <c r="X239" s="163">
        <v>0</v>
      </c>
      <c r="Y239" s="163">
        <v>31</v>
      </c>
      <c r="Z239" s="163">
        <v>700</v>
      </c>
      <c r="AA239" s="163">
        <v>890</v>
      </c>
      <c r="AB239" s="163">
        <v>1614</v>
      </c>
      <c r="AC239" s="163">
        <v>1657</v>
      </c>
      <c r="AD239" s="163">
        <v>319</v>
      </c>
      <c r="AE239" s="163">
        <v>328</v>
      </c>
      <c r="AF239" s="163">
        <v>604</v>
      </c>
      <c r="AG239" s="163">
        <v>57</v>
      </c>
      <c r="AH239" s="163">
        <v>45985000</v>
      </c>
      <c r="AI239" s="163">
        <v>45887000</v>
      </c>
    </row>
    <row r="240" spans="1:35" x14ac:dyDescent="0.2">
      <c r="A240" t="s">
        <v>638</v>
      </c>
      <c r="B240" t="s">
        <v>497</v>
      </c>
      <c r="C240" s="163">
        <v>13397558.845017906</v>
      </c>
      <c r="D240" s="163">
        <v>7450842.8450179063</v>
      </c>
      <c r="E240" s="163">
        <v>5168559</v>
      </c>
      <c r="F240" s="163">
        <v>1691650.1555487299</v>
      </c>
      <c r="G240" s="163">
        <v>1543165.1555487299</v>
      </c>
      <c r="H240" s="163">
        <v>148485</v>
      </c>
      <c r="I240" s="163">
        <v>1329366.22086831</v>
      </c>
      <c r="J240" s="163">
        <v>1329366.22086831</v>
      </c>
      <c r="K240" s="163">
        <v>0</v>
      </c>
      <c r="L240" s="163">
        <v>2147542.3149259998</v>
      </c>
      <c r="M240" s="163">
        <v>179080</v>
      </c>
      <c r="N240" s="163">
        <v>15355</v>
      </c>
      <c r="O240" s="163">
        <v>20617</v>
      </c>
      <c r="P240" s="163">
        <v>1932490</v>
      </c>
      <c r="Q240" s="163">
        <v>714602</v>
      </c>
      <c r="R240" s="163">
        <v>63555</v>
      </c>
      <c r="S240" s="163">
        <v>2005197</v>
      </c>
      <c r="T240" s="163">
        <v>1270</v>
      </c>
      <c r="U240" s="163">
        <v>50000</v>
      </c>
      <c r="V240" s="163">
        <v>1110</v>
      </c>
      <c r="W240" s="163">
        <v>168</v>
      </c>
      <c r="X240" s="163">
        <v>0</v>
      </c>
      <c r="Y240" s="163">
        <v>0</v>
      </c>
      <c r="Z240" s="163">
        <v>11</v>
      </c>
      <c r="AA240" s="163">
        <v>0</v>
      </c>
      <c r="AB240" s="163">
        <v>826</v>
      </c>
      <c r="AC240" s="163">
        <v>778</v>
      </c>
      <c r="AD240" s="163">
        <v>141</v>
      </c>
      <c r="AE240" s="163">
        <v>8</v>
      </c>
      <c r="AF240" s="163">
        <v>63</v>
      </c>
      <c r="AG240" s="163">
        <v>20</v>
      </c>
      <c r="AH240" s="163">
        <v>19918000</v>
      </c>
      <c r="AI240" s="163">
        <v>20605000</v>
      </c>
    </row>
    <row r="241" spans="1:35" x14ac:dyDescent="0.2">
      <c r="A241" t="s">
        <v>631</v>
      </c>
      <c r="B241" t="s">
        <v>257</v>
      </c>
      <c r="C241" s="163">
        <v>46644692.000361443</v>
      </c>
      <c r="D241" s="163">
        <v>24658003.000361443</v>
      </c>
      <c r="E241" s="163">
        <v>19519709</v>
      </c>
      <c r="F241" s="163">
        <v>9081654.4621198792</v>
      </c>
      <c r="G241" s="163">
        <v>4279039.1685198788</v>
      </c>
      <c r="H241" s="163">
        <v>4802615.2936000004</v>
      </c>
      <c r="I241" s="163">
        <v>3884187.6986687202</v>
      </c>
      <c r="J241" s="163">
        <v>3884187.6986687202</v>
      </c>
      <c r="K241" s="163">
        <v>0</v>
      </c>
      <c r="L241" s="163">
        <v>6553867.2596795503</v>
      </c>
      <c r="M241" s="163">
        <v>164085</v>
      </c>
      <c r="N241" s="163">
        <v>39087</v>
      </c>
      <c r="O241" s="163">
        <v>89832</v>
      </c>
      <c r="P241" s="163">
        <v>6260864</v>
      </c>
      <c r="Q241" s="163">
        <v>2210982</v>
      </c>
      <c r="R241" s="163">
        <v>255998</v>
      </c>
      <c r="S241" s="163">
        <v>4356496</v>
      </c>
      <c r="T241" s="163">
        <v>5532</v>
      </c>
      <c r="U241" s="163">
        <v>228000</v>
      </c>
      <c r="V241" s="163">
        <v>3444</v>
      </c>
      <c r="W241" s="163">
        <v>2163</v>
      </c>
      <c r="X241" s="163">
        <v>0</v>
      </c>
      <c r="Y241" s="163">
        <v>15</v>
      </c>
      <c r="Z241" s="163">
        <v>606</v>
      </c>
      <c r="AA241" s="163">
        <v>115</v>
      </c>
      <c r="AB241" s="163">
        <v>2500</v>
      </c>
      <c r="AC241" s="163">
        <v>1600</v>
      </c>
      <c r="AD241" s="163">
        <v>538</v>
      </c>
      <c r="AE241" s="163">
        <v>0</v>
      </c>
      <c r="AF241" s="163">
        <v>587</v>
      </c>
      <c r="AG241" s="163">
        <v>82</v>
      </c>
      <c r="AH241" s="163">
        <v>62026000</v>
      </c>
      <c r="AI241" s="163">
        <v>63437000</v>
      </c>
    </row>
    <row r="242" spans="1:35" x14ac:dyDescent="0.2">
      <c r="A242" t="s">
        <v>629</v>
      </c>
      <c r="B242" t="s">
        <v>456</v>
      </c>
      <c r="C242" s="163">
        <v>75976599.139892191</v>
      </c>
      <c r="D242" s="163">
        <v>46285630.139892191</v>
      </c>
      <c r="E242" s="163">
        <v>24737310</v>
      </c>
      <c r="F242" s="163">
        <v>10253990.717715001</v>
      </c>
      <c r="G242" s="163">
        <v>8775133.7177150007</v>
      </c>
      <c r="H242" s="163">
        <v>1478857</v>
      </c>
      <c r="I242" s="163">
        <v>7168785.0080081001</v>
      </c>
      <c r="J242" s="163">
        <v>7168785.0080081001</v>
      </c>
      <c r="K242" s="163">
        <v>0</v>
      </c>
      <c r="L242" s="163">
        <v>7314533.8479545303</v>
      </c>
      <c r="M242" s="163">
        <v>1075261</v>
      </c>
      <c r="N242" s="163">
        <v>78173</v>
      </c>
      <c r="O242" s="163">
        <v>318093</v>
      </c>
      <c r="P242" s="163">
        <v>5843007</v>
      </c>
      <c r="Q242" s="163">
        <v>4411172</v>
      </c>
      <c r="R242" s="163">
        <v>542487</v>
      </c>
      <c r="S242" s="163">
        <v>15985558</v>
      </c>
      <c r="T242" s="163">
        <v>10946</v>
      </c>
      <c r="U242" s="163">
        <v>919000</v>
      </c>
      <c r="V242" s="163">
        <v>6208</v>
      </c>
      <c r="W242" s="163">
        <v>5185</v>
      </c>
      <c r="X242" s="163">
        <v>1791</v>
      </c>
      <c r="Y242" s="163">
        <v>86</v>
      </c>
      <c r="Z242" s="163">
        <v>360</v>
      </c>
      <c r="AA242" s="163">
        <v>430</v>
      </c>
      <c r="AB242" s="163">
        <v>5256</v>
      </c>
      <c r="AC242" s="163">
        <v>4083</v>
      </c>
      <c r="AD242" s="163">
        <v>984</v>
      </c>
      <c r="AE242" s="163">
        <v>0</v>
      </c>
      <c r="AF242" s="163">
        <v>786</v>
      </c>
      <c r="AG242" s="163">
        <v>243</v>
      </c>
      <c r="AH242" s="163">
        <v>181541000</v>
      </c>
      <c r="AI242" s="163">
        <v>185724000</v>
      </c>
    </row>
    <row r="243" spans="1:35" x14ac:dyDescent="0.2">
      <c r="A243" t="s">
        <v>632</v>
      </c>
      <c r="B243" t="s">
        <v>191</v>
      </c>
      <c r="C243" s="163">
        <v>41397660.498474248</v>
      </c>
      <c r="D243" s="163">
        <v>24429624.498474248</v>
      </c>
      <c r="E243" s="163">
        <v>14239968</v>
      </c>
      <c r="F243" s="163">
        <v>5958853.0977226896</v>
      </c>
      <c r="G243" s="163">
        <v>4908576.0977226896</v>
      </c>
      <c r="H243" s="163">
        <v>1050277</v>
      </c>
      <c r="I243" s="163">
        <v>4104652.0257647699</v>
      </c>
      <c r="J243" s="163">
        <v>4104652.0257647699</v>
      </c>
      <c r="K243" s="163">
        <v>0</v>
      </c>
      <c r="L243" s="163">
        <v>4176462.5376784601</v>
      </c>
      <c r="M243" s="163">
        <v>823651</v>
      </c>
      <c r="N243" s="163">
        <v>48858</v>
      </c>
      <c r="O243" s="163">
        <v>80996</v>
      </c>
      <c r="P243" s="163">
        <v>3222957</v>
      </c>
      <c r="Q243" s="163">
        <v>2370270</v>
      </c>
      <c r="R243" s="163">
        <v>357798</v>
      </c>
      <c r="S243" s="163">
        <v>8237105</v>
      </c>
      <c r="T243" s="163">
        <v>5653</v>
      </c>
      <c r="U243" s="163">
        <v>154000</v>
      </c>
      <c r="V243" s="163">
        <v>2200</v>
      </c>
      <c r="W243" s="163">
        <v>580</v>
      </c>
      <c r="X243" s="163">
        <v>0</v>
      </c>
      <c r="Y243" s="163">
        <v>1232</v>
      </c>
      <c r="Z243" s="163">
        <v>253</v>
      </c>
      <c r="AA243" s="163">
        <v>121</v>
      </c>
      <c r="AB243" s="163">
        <v>2921</v>
      </c>
      <c r="AC243" s="163">
        <v>2249</v>
      </c>
      <c r="AD243" s="163">
        <v>452</v>
      </c>
      <c r="AE243" s="163">
        <v>0</v>
      </c>
      <c r="AF243" s="163">
        <v>385</v>
      </c>
      <c r="AG243" s="163">
        <v>3</v>
      </c>
      <c r="AH243" s="163">
        <v>63750000</v>
      </c>
      <c r="AI243" s="163">
        <v>65353000</v>
      </c>
    </row>
    <row r="244" spans="1:35" x14ac:dyDescent="0.2">
      <c r="A244" t="s">
        <v>630</v>
      </c>
      <c r="B244" t="s">
        <v>330</v>
      </c>
      <c r="C244" s="163">
        <v>10479244.399085818</v>
      </c>
      <c r="D244" s="163">
        <v>7496654.3990858179</v>
      </c>
      <c r="E244" s="163">
        <v>2318927</v>
      </c>
      <c r="F244" s="163">
        <v>1176579.9086078601</v>
      </c>
      <c r="G244" s="163">
        <v>1070171.9086078601</v>
      </c>
      <c r="H244" s="163">
        <v>106408</v>
      </c>
      <c r="I244" s="163">
        <v>893221.993597241</v>
      </c>
      <c r="J244" s="163">
        <v>893221.993597241</v>
      </c>
      <c r="K244" s="163">
        <v>0</v>
      </c>
      <c r="L244" s="163">
        <v>249125.036255518</v>
      </c>
      <c r="M244" s="163">
        <v>23839</v>
      </c>
      <c r="N244" s="163">
        <v>11168</v>
      </c>
      <c r="O244" s="163">
        <v>17672</v>
      </c>
      <c r="P244" s="163">
        <v>196447</v>
      </c>
      <c r="Q244" s="163">
        <v>582492</v>
      </c>
      <c r="R244" s="163">
        <v>81171</v>
      </c>
      <c r="S244" s="163">
        <v>1138690</v>
      </c>
      <c r="T244" s="163">
        <v>1857</v>
      </c>
      <c r="U244" s="163">
        <v>0</v>
      </c>
      <c r="V244" s="163">
        <v>1414</v>
      </c>
      <c r="W244" s="163">
        <v>545</v>
      </c>
      <c r="X244" s="163">
        <v>0</v>
      </c>
      <c r="Y244" s="163">
        <v>487</v>
      </c>
      <c r="Z244" s="163">
        <v>73</v>
      </c>
      <c r="AA244" s="163">
        <v>38</v>
      </c>
      <c r="AB244" s="163">
        <v>1293</v>
      </c>
      <c r="AC244" s="163">
        <v>1126</v>
      </c>
      <c r="AD244" s="163">
        <v>184</v>
      </c>
      <c r="AE244" s="163">
        <v>125</v>
      </c>
      <c r="AF244" s="163">
        <v>220</v>
      </c>
      <c r="AG244" s="163">
        <v>26</v>
      </c>
      <c r="AH244" s="163">
        <v>25208000</v>
      </c>
      <c r="AI244" s="163">
        <v>25253000</v>
      </c>
    </row>
    <row r="245" spans="1:35" x14ac:dyDescent="0.2">
      <c r="A245" t="s">
        <v>630</v>
      </c>
      <c r="B245" t="s">
        <v>331</v>
      </c>
      <c r="C245" s="163">
        <v>13252302.338254662</v>
      </c>
      <c r="D245" s="163">
        <v>8749334.3382546622</v>
      </c>
      <c r="E245" s="163">
        <v>3658199</v>
      </c>
      <c r="F245" s="163">
        <v>1923644.40203756</v>
      </c>
      <c r="G245" s="163">
        <v>1604254.40203756</v>
      </c>
      <c r="H245" s="163">
        <v>319390</v>
      </c>
      <c r="I245" s="163">
        <v>1232688.7597807599</v>
      </c>
      <c r="J245" s="163">
        <v>1232688.7597807599</v>
      </c>
      <c r="K245" s="163">
        <v>0</v>
      </c>
      <c r="L245" s="163">
        <v>501865.54974849802</v>
      </c>
      <c r="M245" s="163">
        <v>53477</v>
      </c>
      <c r="N245" s="163">
        <v>26523</v>
      </c>
      <c r="O245" s="163">
        <v>39762</v>
      </c>
      <c r="P245" s="163">
        <v>382104</v>
      </c>
      <c r="Q245" s="163">
        <v>714231</v>
      </c>
      <c r="R245" s="163">
        <v>130538</v>
      </c>
      <c r="S245" s="163">
        <v>1461734</v>
      </c>
      <c r="T245" s="163">
        <v>101</v>
      </c>
      <c r="U245" s="163">
        <v>50000</v>
      </c>
      <c r="V245" s="163">
        <v>1169</v>
      </c>
      <c r="W245" s="163">
        <v>535</v>
      </c>
      <c r="X245" s="163">
        <v>0</v>
      </c>
      <c r="Y245" s="163">
        <v>0</v>
      </c>
      <c r="Z245" s="163">
        <v>11</v>
      </c>
      <c r="AA245" s="163">
        <v>73</v>
      </c>
      <c r="AB245" s="163">
        <v>1127</v>
      </c>
      <c r="AC245" s="163">
        <v>1495</v>
      </c>
      <c r="AD245" s="163">
        <v>200</v>
      </c>
      <c r="AE245" s="163">
        <v>13</v>
      </c>
      <c r="AF245" s="163">
        <v>153</v>
      </c>
      <c r="AG245" s="163">
        <v>17</v>
      </c>
      <c r="AH245" s="163">
        <v>29153000</v>
      </c>
      <c r="AI245" s="163">
        <v>29182000</v>
      </c>
    </row>
    <row r="246" spans="1:35" x14ac:dyDescent="0.2">
      <c r="A246" t="s">
        <v>632</v>
      </c>
      <c r="B246" t="s">
        <v>192</v>
      </c>
      <c r="C246" s="163">
        <v>44758749.44516886</v>
      </c>
      <c r="D246" s="163">
        <v>26146885.44516886</v>
      </c>
      <c r="E246" s="163">
        <v>15918647</v>
      </c>
      <c r="F246" s="163">
        <v>7617750.0669854004</v>
      </c>
      <c r="G246" s="163">
        <v>5653514.0669854004</v>
      </c>
      <c r="H246" s="163">
        <v>1964236</v>
      </c>
      <c r="I246" s="163">
        <v>4025016.0685374402</v>
      </c>
      <c r="J246" s="163">
        <v>4025016.0685374402</v>
      </c>
      <c r="K246" s="163">
        <v>0</v>
      </c>
      <c r="L246" s="163">
        <v>4275880.9194823904</v>
      </c>
      <c r="M246" s="163">
        <v>829428</v>
      </c>
      <c r="N246" s="163">
        <v>61422</v>
      </c>
      <c r="O246" s="163">
        <v>100140</v>
      </c>
      <c r="P246" s="163">
        <v>3284891</v>
      </c>
      <c r="Q246" s="163">
        <v>2339386</v>
      </c>
      <c r="R246" s="163">
        <v>353831</v>
      </c>
      <c r="S246" s="163">
        <v>8297711</v>
      </c>
      <c r="T246" s="163">
        <v>6097</v>
      </c>
      <c r="U246" s="163">
        <v>136000</v>
      </c>
      <c r="V246" s="163">
        <v>2906</v>
      </c>
      <c r="W246" s="163">
        <v>1403</v>
      </c>
      <c r="X246" s="163">
        <v>0</v>
      </c>
      <c r="Y246" s="163">
        <v>1700</v>
      </c>
      <c r="Z246" s="163">
        <v>149</v>
      </c>
      <c r="AA246" s="163">
        <v>120</v>
      </c>
      <c r="AB246" s="163">
        <v>2646</v>
      </c>
      <c r="AC246" s="163">
        <v>2532</v>
      </c>
      <c r="AD246" s="163">
        <v>444</v>
      </c>
      <c r="AE246" s="163">
        <v>150</v>
      </c>
      <c r="AF246" s="163">
        <v>626</v>
      </c>
      <c r="AG246" s="163">
        <v>49</v>
      </c>
      <c r="AH246" s="163">
        <v>89370000</v>
      </c>
      <c r="AI246" s="163">
        <v>91493000</v>
      </c>
    </row>
    <row r="247" spans="1:35" x14ac:dyDescent="0.2">
      <c r="A247" t="s">
        <v>629</v>
      </c>
      <c r="B247" t="s">
        <v>457</v>
      </c>
      <c r="C247" s="163">
        <v>163298616.32146993</v>
      </c>
      <c r="D247" s="163">
        <v>79781255.321469933</v>
      </c>
      <c r="E247" s="163">
        <v>72072454</v>
      </c>
      <c r="F247" s="163">
        <v>20672244.156259</v>
      </c>
      <c r="G247" s="163">
        <v>17401872.156259</v>
      </c>
      <c r="H247" s="163">
        <v>3270372</v>
      </c>
      <c r="I247" s="163">
        <v>29912393.059018899</v>
      </c>
      <c r="J247" s="163">
        <v>12588394.917157464</v>
      </c>
      <c r="K247" s="163">
        <v>17323998.141861435</v>
      </c>
      <c r="L247" s="163">
        <v>21487816.918734401</v>
      </c>
      <c r="M247" s="163">
        <v>1384131</v>
      </c>
      <c r="N247" s="163">
        <v>247083</v>
      </c>
      <c r="O247" s="163">
        <v>1072091</v>
      </c>
      <c r="P247" s="163">
        <v>18784513</v>
      </c>
      <c r="Q247" s="163">
        <v>7088772</v>
      </c>
      <c r="R247" s="163">
        <v>4356135</v>
      </c>
      <c r="S247" s="163">
        <v>24669075</v>
      </c>
      <c r="T247" s="163">
        <v>5210</v>
      </c>
      <c r="U247" s="163">
        <v>999000</v>
      </c>
      <c r="V247" s="163">
        <v>10808</v>
      </c>
      <c r="W247" s="163">
        <v>7084</v>
      </c>
      <c r="X247" s="163">
        <v>2622</v>
      </c>
      <c r="Y247" s="163">
        <v>68</v>
      </c>
      <c r="Z247" s="163">
        <v>233</v>
      </c>
      <c r="AA247" s="163">
        <v>745</v>
      </c>
      <c r="AB247" s="163">
        <v>8022</v>
      </c>
      <c r="AC247" s="163">
        <v>8711</v>
      </c>
      <c r="AD247" s="163">
        <v>1669</v>
      </c>
      <c r="AE247" s="163">
        <v>240</v>
      </c>
      <c r="AF247" s="163">
        <v>2800</v>
      </c>
      <c r="AG247" s="163">
        <v>454</v>
      </c>
      <c r="AH247" s="163">
        <v>294535000</v>
      </c>
      <c r="AI247" s="163">
        <v>296139000</v>
      </c>
    </row>
    <row r="248" spans="1:35" x14ac:dyDescent="0.2">
      <c r="A248" t="s">
        <v>633</v>
      </c>
      <c r="B248" t="s">
        <v>382</v>
      </c>
      <c r="C248" s="163">
        <v>29814112.865992863</v>
      </c>
      <c r="D248" s="163">
        <v>19412135.865992863</v>
      </c>
      <c r="E248" s="163">
        <v>8513604</v>
      </c>
      <c r="F248" s="163">
        <v>4152281.17786662</v>
      </c>
      <c r="G248" s="163">
        <v>3645258.17786662</v>
      </c>
      <c r="H248" s="163">
        <v>507023</v>
      </c>
      <c r="I248" s="163">
        <v>2754679.5827825</v>
      </c>
      <c r="J248" s="163">
        <v>2754679.5827825</v>
      </c>
      <c r="K248" s="163">
        <v>0</v>
      </c>
      <c r="L248" s="163">
        <v>1606643.6340731401</v>
      </c>
      <c r="M248" s="163">
        <v>98867</v>
      </c>
      <c r="N248" s="163">
        <v>40482</v>
      </c>
      <c r="O248" s="163">
        <v>51543</v>
      </c>
      <c r="P248" s="163">
        <v>1415751</v>
      </c>
      <c r="Q248" s="163">
        <v>1675298</v>
      </c>
      <c r="R248" s="163">
        <v>213075</v>
      </c>
      <c r="S248" s="163">
        <v>3855724</v>
      </c>
      <c r="T248" s="163">
        <v>740</v>
      </c>
      <c r="U248" s="163">
        <v>0</v>
      </c>
      <c r="V248" s="163">
        <v>3227</v>
      </c>
      <c r="W248" s="163">
        <v>2936</v>
      </c>
      <c r="X248" s="163">
        <v>21</v>
      </c>
      <c r="Y248" s="163">
        <v>925</v>
      </c>
      <c r="Z248" s="163">
        <v>0</v>
      </c>
      <c r="AA248" s="163">
        <v>311</v>
      </c>
      <c r="AB248" s="163">
        <v>1960</v>
      </c>
      <c r="AC248" s="163">
        <v>0</v>
      </c>
      <c r="AD248" s="163">
        <v>457</v>
      </c>
      <c r="AE248" s="163">
        <v>290</v>
      </c>
      <c r="AF248" s="163">
        <v>528</v>
      </c>
      <c r="AG248" s="163">
        <v>61</v>
      </c>
      <c r="AH248" s="163">
        <v>50179000</v>
      </c>
      <c r="AI248" s="163">
        <v>51017000</v>
      </c>
    </row>
    <row r="249" spans="1:35" x14ac:dyDescent="0.2">
      <c r="A249" t="s">
        <v>631</v>
      </c>
      <c r="B249" t="s">
        <v>258</v>
      </c>
      <c r="C249" s="163">
        <v>57709828.112396128</v>
      </c>
      <c r="D249" s="163">
        <v>33706701.112396128</v>
      </c>
      <c r="E249" s="163">
        <v>19931983</v>
      </c>
      <c r="F249" s="163">
        <v>8384331.2071975404</v>
      </c>
      <c r="G249" s="163">
        <v>6934362.2071975404</v>
      </c>
      <c r="H249" s="163">
        <v>1449969</v>
      </c>
      <c r="I249" s="163">
        <v>6012217.8930770103</v>
      </c>
      <c r="J249" s="163">
        <v>6012217.8930770103</v>
      </c>
      <c r="K249" s="163">
        <v>0</v>
      </c>
      <c r="L249" s="163">
        <v>5535433.4926334498</v>
      </c>
      <c r="M249" s="163">
        <v>719741</v>
      </c>
      <c r="N249" s="163">
        <v>58630</v>
      </c>
      <c r="O249" s="163">
        <v>192917</v>
      </c>
      <c r="P249" s="163">
        <v>4564145</v>
      </c>
      <c r="Q249" s="163">
        <v>3641044</v>
      </c>
      <c r="R249" s="163">
        <v>430100</v>
      </c>
      <c r="S249" s="163">
        <v>8877399</v>
      </c>
      <c r="T249" s="163">
        <v>14424</v>
      </c>
      <c r="U249" s="163">
        <v>342000</v>
      </c>
      <c r="V249" s="163">
        <v>5527</v>
      </c>
      <c r="W249" s="163">
        <v>2395</v>
      </c>
      <c r="X249" s="163">
        <v>0</v>
      </c>
      <c r="Y249" s="163">
        <v>6</v>
      </c>
      <c r="Z249" s="163">
        <v>143</v>
      </c>
      <c r="AA249" s="163">
        <v>0</v>
      </c>
      <c r="AB249" s="163">
        <v>4308</v>
      </c>
      <c r="AC249" s="163">
        <v>2486</v>
      </c>
      <c r="AD249" s="163">
        <v>644</v>
      </c>
      <c r="AE249" s="163">
        <v>126</v>
      </c>
      <c r="AF249" s="163">
        <v>452</v>
      </c>
      <c r="AG249" s="163">
        <v>79</v>
      </c>
      <c r="AH249" s="163">
        <v>88940000</v>
      </c>
      <c r="AI249" s="163">
        <v>88829000</v>
      </c>
    </row>
    <row r="250" spans="1:35" x14ac:dyDescent="0.2">
      <c r="A250" t="s">
        <v>630</v>
      </c>
      <c r="B250" s="249" t="s">
        <v>332</v>
      </c>
      <c r="C250" s="163">
        <v>14190816.926006723</v>
      </c>
      <c r="D250" s="163">
        <v>9898120.9260067232</v>
      </c>
      <c r="E250" s="163">
        <v>3398640</v>
      </c>
      <c r="F250" s="163">
        <v>1788067.5354494301</v>
      </c>
      <c r="G250" s="163">
        <v>1490036.5354494301</v>
      </c>
      <c r="H250" s="163">
        <v>298031</v>
      </c>
      <c r="I250" s="163">
        <v>1307193.76342379</v>
      </c>
      <c r="J250" s="163">
        <v>1307193.76342379</v>
      </c>
      <c r="K250" s="163">
        <v>0</v>
      </c>
      <c r="L250" s="163">
        <v>303378.35016745201</v>
      </c>
      <c r="M250" s="163">
        <v>48146</v>
      </c>
      <c r="N250" s="163">
        <v>15355</v>
      </c>
      <c r="O250" s="163">
        <v>19144</v>
      </c>
      <c r="P250" s="163">
        <v>220732</v>
      </c>
      <c r="Q250" s="163">
        <v>774686</v>
      </c>
      <c r="R250" s="163">
        <v>119370</v>
      </c>
      <c r="S250" s="163">
        <v>2219047</v>
      </c>
      <c r="T250" s="163">
        <v>151</v>
      </c>
      <c r="U250" s="163">
        <v>127000</v>
      </c>
      <c r="V250" s="163" t="s">
        <v>844</v>
      </c>
      <c r="W250" s="163" t="s">
        <v>844</v>
      </c>
      <c r="X250" s="163" t="s">
        <v>844</v>
      </c>
      <c r="Y250" s="163" t="s">
        <v>844</v>
      </c>
      <c r="Z250" s="163" t="s">
        <v>844</v>
      </c>
      <c r="AA250" s="163" t="s">
        <v>844</v>
      </c>
      <c r="AB250" s="163" t="s">
        <v>844</v>
      </c>
      <c r="AC250" s="163" t="s">
        <v>844</v>
      </c>
      <c r="AD250" s="163" t="s">
        <v>844</v>
      </c>
      <c r="AE250" s="163" t="s">
        <v>844</v>
      </c>
      <c r="AF250" s="163" t="s">
        <v>844</v>
      </c>
      <c r="AG250" s="163" t="s">
        <v>844</v>
      </c>
      <c r="AH250" s="163">
        <v>28842000</v>
      </c>
      <c r="AI250" s="163">
        <v>29983000</v>
      </c>
    </row>
    <row r="251" spans="1:35" x14ac:dyDescent="0.2">
      <c r="A251" t="s">
        <v>636</v>
      </c>
      <c r="B251" t="s">
        <v>288</v>
      </c>
      <c r="C251" s="163">
        <v>11886451.145899622</v>
      </c>
      <c r="D251" s="163">
        <v>8463644.1458996218</v>
      </c>
      <c r="E251" s="163">
        <v>2757209</v>
      </c>
      <c r="F251" s="163">
        <v>1246309.2851932701</v>
      </c>
      <c r="G251" s="163">
        <v>1075121.2851932701</v>
      </c>
      <c r="H251" s="163">
        <v>171188</v>
      </c>
      <c r="I251" s="163">
        <v>999910.20291872905</v>
      </c>
      <c r="J251" s="163">
        <v>999910.20291872905</v>
      </c>
      <c r="K251" s="163">
        <v>0</v>
      </c>
      <c r="L251" s="163">
        <v>510989.559013794</v>
      </c>
      <c r="M251" s="163">
        <v>24656</v>
      </c>
      <c r="N251" s="163">
        <v>5584</v>
      </c>
      <c r="O251" s="163">
        <v>8836</v>
      </c>
      <c r="P251" s="163">
        <v>471914</v>
      </c>
      <c r="Q251" s="163">
        <v>595107</v>
      </c>
      <c r="R251" s="163">
        <v>70491</v>
      </c>
      <c r="S251" s="163">
        <v>1159179</v>
      </c>
      <c r="T251" s="163">
        <v>0</v>
      </c>
      <c r="U251" s="163">
        <v>57000</v>
      </c>
      <c r="V251" s="163">
        <v>1380</v>
      </c>
      <c r="W251" s="163">
        <v>687</v>
      </c>
      <c r="X251" s="163">
        <v>0</v>
      </c>
      <c r="Y251" s="163">
        <v>11</v>
      </c>
      <c r="Z251" s="163">
        <v>12</v>
      </c>
      <c r="AA251" s="163">
        <v>101</v>
      </c>
      <c r="AB251" s="163">
        <v>1095</v>
      </c>
      <c r="AC251" s="163">
        <v>770</v>
      </c>
      <c r="AD251" s="163">
        <v>182</v>
      </c>
      <c r="AE251" s="163">
        <v>6</v>
      </c>
      <c r="AF251" s="163">
        <v>291</v>
      </c>
      <c r="AG251" s="163">
        <v>61</v>
      </c>
      <c r="AH251" s="163">
        <v>21607000</v>
      </c>
      <c r="AI251" s="163">
        <v>20424000</v>
      </c>
    </row>
    <row r="252" spans="1:35" x14ac:dyDescent="0.2">
      <c r="A252" t="s">
        <v>631</v>
      </c>
      <c r="B252" t="s">
        <v>259</v>
      </c>
      <c r="C252" s="163">
        <v>59471136.158006392</v>
      </c>
      <c r="D252" s="163">
        <v>34814186.158006392</v>
      </c>
      <c r="E252" s="163">
        <v>21324984</v>
      </c>
      <c r="F252" s="163">
        <v>11853644.293864699</v>
      </c>
      <c r="G252" s="163">
        <v>8114648.2938646991</v>
      </c>
      <c r="H252" s="163">
        <v>3738996</v>
      </c>
      <c r="I252" s="163">
        <v>5331527.7434657803</v>
      </c>
      <c r="J252" s="163">
        <v>5331527.7434657803</v>
      </c>
      <c r="K252" s="163">
        <v>0</v>
      </c>
      <c r="L252" s="163">
        <v>4139811.8729934599</v>
      </c>
      <c r="M252" s="163">
        <v>265557</v>
      </c>
      <c r="N252" s="163">
        <v>129823</v>
      </c>
      <c r="O252" s="163">
        <v>204699</v>
      </c>
      <c r="P252" s="163">
        <v>3539734</v>
      </c>
      <c r="Q252" s="163">
        <v>2882721</v>
      </c>
      <c r="R252" s="163">
        <v>449245</v>
      </c>
      <c r="S252" s="163">
        <v>8556942</v>
      </c>
      <c r="T252" s="163">
        <v>4923</v>
      </c>
      <c r="U252" s="163">
        <v>60000</v>
      </c>
      <c r="V252" s="163">
        <v>4805</v>
      </c>
      <c r="W252" s="163">
        <v>2219</v>
      </c>
      <c r="X252" s="163">
        <v>0</v>
      </c>
      <c r="Y252" s="163">
        <v>826</v>
      </c>
      <c r="Z252" s="163">
        <v>0</v>
      </c>
      <c r="AA252" s="163">
        <v>419</v>
      </c>
      <c r="AB252" s="163">
        <v>2444</v>
      </c>
      <c r="AC252" s="163">
        <v>4123</v>
      </c>
      <c r="AD252" s="163">
        <v>734</v>
      </c>
      <c r="AE252" s="163">
        <v>72</v>
      </c>
      <c r="AF252" s="163">
        <v>920</v>
      </c>
      <c r="AG252" s="163">
        <v>159</v>
      </c>
      <c r="AH252" s="163">
        <v>87744000</v>
      </c>
      <c r="AI252" s="163">
        <v>86065000</v>
      </c>
    </row>
    <row r="253" spans="1:35" x14ac:dyDescent="0.2">
      <c r="A253" t="s">
        <v>633</v>
      </c>
      <c r="B253" t="s">
        <v>383</v>
      </c>
      <c r="C253" s="163">
        <v>42458535.518963709</v>
      </c>
      <c r="D253" s="163">
        <v>27670590.518963709</v>
      </c>
      <c r="E253" s="163">
        <v>12238745</v>
      </c>
      <c r="F253" s="163">
        <v>5979164.3390159002</v>
      </c>
      <c r="G253" s="163">
        <v>5410238.3390159002</v>
      </c>
      <c r="H253" s="163">
        <v>568926</v>
      </c>
      <c r="I253" s="163">
        <v>3678771.9356770301</v>
      </c>
      <c r="J253" s="163">
        <v>3678771.9356770301</v>
      </c>
      <c r="K253" s="163">
        <v>0</v>
      </c>
      <c r="L253" s="163">
        <v>2580808.6778107202</v>
      </c>
      <c r="M253" s="163">
        <v>438166</v>
      </c>
      <c r="N253" s="163">
        <v>51650</v>
      </c>
      <c r="O253" s="163">
        <v>100140</v>
      </c>
      <c r="P253" s="163">
        <v>1990853</v>
      </c>
      <c r="Q253" s="163">
        <v>2377373</v>
      </c>
      <c r="R253" s="163">
        <v>171827</v>
      </c>
      <c r="S253" s="163">
        <v>6822785</v>
      </c>
      <c r="T253" s="163">
        <v>4120</v>
      </c>
      <c r="U253" s="163">
        <v>202000</v>
      </c>
      <c r="V253" s="163">
        <v>3700</v>
      </c>
      <c r="W253" s="163">
        <v>2031</v>
      </c>
      <c r="X253" s="163">
        <v>671</v>
      </c>
      <c r="Y253" s="163">
        <v>1000</v>
      </c>
      <c r="Z253" s="163">
        <v>26</v>
      </c>
      <c r="AA253" s="163">
        <v>0</v>
      </c>
      <c r="AB253" s="163">
        <v>2030</v>
      </c>
      <c r="AC253" s="163">
        <v>3473</v>
      </c>
      <c r="AD253" s="163">
        <v>543</v>
      </c>
      <c r="AE253" s="163">
        <v>428</v>
      </c>
      <c r="AF253" s="163">
        <v>687</v>
      </c>
      <c r="AG253" s="163">
        <v>30</v>
      </c>
      <c r="AH253" s="163">
        <v>81285000</v>
      </c>
      <c r="AI253" s="163">
        <v>80723000</v>
      </c>
    </row>
    <row r="254" spans="1:35" x14ac:dyDescent="0.2">
      <c r="A254" t="s">
        <v>638</v>
      </c>
      <c r="B254" t="s">
        <v>498</v>
      </c>
      <c r="C254" s="163">
        <v>55075347.297934875</v>
      </c>
      <c r="D254" s="163">
        <v>32766907.297934875</v>
      </c>
      <c r="E254" s="163">
        <v>18648694</v>
      </c>
      <c r="F254" s="163">
        <v>6883698.8937464301</v>
      </c>
      <c r="G254" s="163">
        <v>5830628.8937464301</v>
      </c>
      <c r="H254" s="163">
        <v>1053070</v>
      </c>
      <c r="I254" s="163">
        <v>5706645.6077423301</v>
      </c>
      <c r="J254" s="163">
        <v>5706645.6077423301</v>
      </c>
      <c r="K254" s="163">
        <v>0</v>
      </c>
      <c r="L254" s="163">
        <v>6058349.3954099901</v>
      </c>
      <c r="M254" s="163">
        <v>109652</v>
      </c>
      <c r="N254" s="163">
        <v>60026</v>
      </c>
      <c r="O254" s="163">
        <v>117812</v>
      </c>
      <c r="P254" s="163">
        <v>5770859</v>
      </c>
      <c r="Q254" s="163">
        <v>3250932</v>
      </c>
      <c r="R254" s="163">
        <v>408814</v>
      </c>
      <c r="S254" s="163">
        <v>6892374</v>
      </c>
      <c r="T254" s="163">
        <v>22578</v>
      </c>
      <c r="U254" s="163">
        <v>149000</v>
      </c>
      <c r="V254" s="163">
        <v>4227</v>
      </c>
      <c r="W254" s="163">
        <v>3216</v>
      </c>
      <c r="X254" s="163">
        <v>0</v>
      </c>
      <c r="Y254" s="163">
        <v>0</v>
      </c>
      <c r="Z254" s="163">
        <v>662</v>
      </c>
      <c r="AA254" s="163">
        <v>30</v>
      </c>
      <c r="AB254" s="163">
        <v>5327</v>
      </c>
      <c r="AC254" s="163">
        <v>3114</v>
      </c>
      <c r="AD254" s="163">
        <v>800</v>
      </c>
      <c r="AE254" s="163">
        <v>61</v>
      </c>
      <c r="AF254" s="163">
        <v>842</v>
      </c>
      <c r="AG254" s="163">
        <v>26</v>
      </c>
      <c r="AH254" s="163">
        <v>93052000</v>
      </c>
      <c r="AI254" s="163">
        <v>98732000</v>
      </c>
    </row>
    <row r="255" spans="1:35" x14ac:dyDescent="0.2">
      <c r="A255" t="s">
        <v>637</v>
      </c>
      <c r="B255" t="s">
        <v>171</v>
      </c>
      <c r="C255" s="163">
        <v>26809858.160427455</v>
      </c>
      <c r="D255" s="163">
        <v>12415299.160427455</v>
      </c>
      <c r="E255" s="163">
        <v>12764371</v>
      </c>
      <c r="F255" s="163">
        <v>4304968.2994848499</v>
      </c>
      <c r="G255" s="163">
        <v>3619033.2994848499</v>
      </c>
      <c r="H255" s="163">
        <v>685935</v>
      </c>
      <c r="I255" s="163">
        <v>2553475.1849813401</v>
      </c>
      <c r="J255" s="163">
        <v>2553475.1849813401</v>
      </c>
      <c r="K255" s="163">
        <v>0</v>
      </c>
      <c r="L255" s="163">
        <v>5905927.1995198103</v>
      </c>
      <c r="M255" s="163">
        <v>803374</v>
      </c>
      <c r="N255" s="163">
        <v>54442</v>
      </c>
      <c r="O255" s="163">
        <v>94250</v>
      </c>
      <c r="P255" s="163">
        <v>4953862</v>
      </c>
      <c r="Q255" s="163">
        <v>1412381</v>
      </c>
      <c r="R255" s="163">
        <v>217807</v>
      </c>
      <c r="S255" s="163">
        <v>6175623</v>
      </c>
      <c r="T255" s="163">
        <v>8117</v>
      </c>
      <c r="U255" s="163">
        <v>270000</v>
      </c>
      <c r="V255" s="163">
        <v>1613</v>
      </c>
      <c r="W255" s="163">
        <v>885</v>
      </c>
      <c r="X255" s="163">
        <v>0</v>
      </c>
      <c r="Y255" s="163">
        <v>0</v>
      </c>
      <c r="Z255" s="163">
        <v>0</v>
      </c>
      <c r="AA255" s="163">
        <v>108</v>
      </c>
      <c r="AB255" s="163">
        <v>1130</v>
      </c>
      <c r="AC255" s="163">
        <v>1276</v>
      </c>
      <c r="AD255" s="163">
        <v>324</v>
      </c>
      <c r="AE255" s="163">
        <v>58</v>
      </c>
      <c r="AF255" s="163">
        <v>100</v>
      </c>
      <c r="AG255" s="163">
        <v>13</v>
      </c>
      <c r="AH255" s="163">
        <v>42005000</v>
      </c>
      <c r="AI255" s="163">
        <v>41992000</v>
      </c>
    </row>
    <row r="256" spans="1:35" x14ac:dyDescent="0.2">
      <c r="A256" t="s">
        <v>633</v>
      </c>
      <c r="B256" t="s">
        <v>384</v>
      </c>
      <c r="C256" s="163">
        <v>53986289.41286774</v>
      </c>
      <c r="D256" s="163">
        <v>36968917.41286774</v>
      </c>
      <c r="E256" s="163">
        <v>14165504</v>
      </c>
      <c r="F256" s="163">
        <v>9784775.6234295294</v>
      </c>
      <c r="G256" s="163">
        <v>8496224.6234295294</v>
      </c>
      <c r="H256" s="163">
        <v>1288551</v>
      </c>
      <c r="I256" s="163">
        <v>4059392.7754783202</v>
      </c>
      <c r="J256" s="163">
        <v>4059392.7754783202</v>
      </c>
      <c r="K256" s="163">
        <v>0</v>
      </c>
      <c r="L256" s="163">
        <v>321335.38245509099</v>
      </c>
      <c r="M256" s="163">
        <v>131164</v>
      </c>
      <c r="N256" s="163">
        <v>76777</v>
      </c>
      <c r="O256" s="163">
        <v>113394</v>
      </c>
      <c r="P256" s="163">
        <v>0</v>
      </c>
      <c r="Q256" s="163">
        <v>2366719</v>
      </c>
      <c r="R256" s="163">
        <v>485149</v>
      </c>
      <c r="S256" s="163">
        <v>6766402</v>
      </c>
      <c r="T256" s="163">
        <v>2659</v>
      </c>
      <c r="U256" s="163">
        <v>145000</v>
      </c>
      <c r="V256" s="163">
        <v>6253</v>
      </c>
      <c r="W256" s="163">
        <v>3190</v>
      </c>
      <c r="X256" s="163">
        <v>10</v>
      </c>
      <c r="Y256" s="163">
        <v>100</v>
      </c>
      <c r="Z256" s="163">
        <v>148</v>
      </c>
      <c r="AA256" s="163">
        <v>177</v>
      </c>
      <c r="AB256" s="163">
        <v>5175</v>
      </c>
      <c r="AC256" s="163">
        <v>5873</v>
      </c>
      <c r="AD256" s="163">
        <v>855</v>
      </c>
      <c r="AE256" s="163">
        <v>0</v>
      </c>
      <c r="AF256" s="163">
        <v>1656</v>
      </c>
      <c r="AG256" s="163">
        <v>117</v>
      </c>
      <c r="AH256" s="163">
        <v>113949000</v>
      </c>
      <c r="AI256" s="163">
        <v>121503000</v>
      </c>
    </row>
    <row r="257" spans="1:35" x14ac:dyDescent="0.2">
      <c r="A257" t="s">
        <v>630</v>
      </c>
      <c r="B257" t="s">
        <v>333</v>
      </c>
      <c r="C257" s="163">
        <v>125776005.75672489</v>
      </c>
      <c r="D257" s="163">
        <v>73253036.756724894</v>
      </c>
      <c r="E257" s="163">
        <v>43476837</v>
      </c>
      <c r="F257" s="163">
        <v>18437573.8493939</v>
      </c>
      <c r="G257" s="163">
        <v>16865044.8493939</v>
      </c>
      <c r="H257" s="163">
        <v>1572529</v>
      </c>
      <c r="I257" s="163">
        <v>17208183.292904701</v>
      </c>
      <c r="J257" s="163">
        <v>11317592.511109695</v>
      </c>
      <c r="K257" s="163">
        <v>5890590.7817950053</v>
      </c>
      <c r="L257" s="163">
        <v>7831079.5351301804</v>
      </c>
      <c r="M257" s="163">
        <v>1669821</v>
      </c>
      <c r="N257" s="163">
        <v>280585</v>
      </c>
      <c r="O257" s="163">
        <v>450632</v>
      </c>
      <c r="P257" s="163">
        <v>5430041</v>
      </c>
      <c r="Q257" s="163">
        <v>6683956</v>
      </c>
      <c r="R257" s="163">
        <v>2362176</v>
      </c>
      <c r="S257" s="163">
        <v>22078088</v>
      </c>
      <c r="T257" s="163">
        <v>14576</v>
      </c>
      <c r="U257" s="163">
        <v>536000</v>
      </c>
      <c r="V257" s="163">
        <v>8195</v>
      </c>
      <c r="W257" s="163">
        <v>4419</v>
      </c>
      <c r="X257" s="163">
        <v>2272</v>
      </c>
      <c r="Y257" s="163">
        <v>214</v>
      </c>
      <c r="Z257" s="163">
        <v>50</v>
      </c>
      <c r="AA257" s="163">
        <v>546</v>
      </c>
      <c r="AB257" s="163">
        <v>7011</v>
      </c>
      <c r="AC257" s="163">
        <v>11758</v>
      </c>
      <c r="AD257" s="163">
        <v>1550</v>
      </c>
      <c r="AE257" s="163">
        <v>300</v>
      </c>
      <c r="AF257" s="163">
        <v>1578</v>
      </c>
      <c r="AG257" s="163">
        <v>252</v>
      </c>
      <c r="AH257" s="163">
        <v>220745000</v>
      </c>
      <c r="AI257" s="163">
        <v>214670000</v>
      </c>
    </row>
    <row r="258" spans="1:35" x14ac:dyDescent="0.2">
      <c r="A258" t="s">
        <v>631</v>
      </c>
      <c r="B258" t="s">
        <v>260</v>
      </c>
      <c r="C258" s="163">
        <v>29795677.192557607</v>
      </c>
      <c r="D258" s="163">
        <v>18055293.192557607</v>
      </c>
      <c r="E258" s="163">
        <v>9730742</v>
      </c>
      <c r="F258" s="163">
        <v>4555608.3685230296</v>
      </c>
      <c r="G258" s="163">
        <v>3687594.3685230296</v>
      </c>
      <c r="H258" s="163">
        <v>868014</v>
      </c>
      <c r="I258" s="163">
        <v>3008645.9823522498</v>
      </c>
      <c r="J258" s="163">
        <v>3008645.9823522498</v>
      </c>
      <c r="K258" s="163">
        <v>0</v>
      </c>
      <c r="L258" s="163">
        <v>2166487.2178777498</v>
      </c>
      <c r="M258" s="163">
        <v>60281</v>
      </c>
      <c r="N258" s="163">
        <v>25127</v>
      </c>
      <c r="O258" s="163">
        <v>63324</v>
      </c>
      <c r="P258" s="163">
        <v>2017755</v>
      </c>
      <c r="Q258" s="163">
        <v>1774163</v>
      </c>
      <c r="R258" s="163">
        <v>235479</v>
      </c>
      <c r="S258" s="163">
        <v>3292285</v>
      </c>
      <c r="T258" s="163">
        <v>11061</v>
      </c>
      <c r="U258" s="163">
        <v>237000</v>
      </c>
      <c r="V258" s="163">
        <v>2265</v>
      </c>
      <c r="W258" s="163">
        <v>1198</v>
      </c>
      <c r="X258" s="163">
        <v>17</v>
      </c>
      <c r="Y258" s="163">
        <v>1225</v>
      </c>
      <c r="Z258" s="163">
        <v>420</v>
      </c>
      <c r="AA258" s="163">
        <v>430</v>
      </c>
      <c r="AB258" s="163">
        <v>2634</v>
      </c>
      <c r="AC258" s="163">
        <v>775</v>
      </c>
      <c r="AD258" s="163">
        <v>462</v>
      </c>
      <c r="AE258" s="163">
        <v>511</v>
      </c>
      <c r="AF258" s="163">
        <v>633</v>
      </c>
      <c r="AG258" s="163">
        <v>123</v>
      </c>
      <c r="AH258" s="163">
        <v>45928000</v>
      </c>
      <c r="AI258" s="163">
        <v>45274000</v>
      </c>
    </row>
    <row r="259" spans="1:35" x14ac:dyDescent="0.2">
      <c r="A259" t="s">
        <v>634</v>
      </c>
      <c r="B259" t="s">
        <v>214</v>
      </c>
      <c r="C259" s="163">
        <v>48170891.288478971</v>
      </c>
      <c r="D259" s="163">
        <v>29429395.288478971</v>
      </c>
      <c r="E259" s="163">
        <v>15624206</v>
      </c>
      <c r="F259" s="163">
        <v>6643215.8266991302</v>
      </c>
      <c r="G259" s="163">
        <v>5950544.8266991302</v>
      </c>
      <c r="H259" s="163">
        <v>692671</v>
      </c>
      <c r="I259" s="163">
        <v>4685296.33164295</v>
      </c>
      <c r="J259" s="163">
        <v>4685296.33164295</v>
      </c>
      <c r="K259" s="163">
        <v>0</v>
      </c>
      <c r="L259" s="163">
        <v>4295693.9184846301</v>
      </c>
      <c r="M259" s="163">
        <v>132425</v>
      </c>
      <c r="N259" s="163">
        <v>48858</v>
      </c>
      <c r="O259" s="163">
        <v>97195</v>
      </c>
      <c r="P259" s="163">
        <v>4017216</v>
      </c>
      <c r="Q259" s="163">
        <v>2751346</v>
      </c>
      <c r="R259" s="163">
        <v>365944</v>
      </c>
      <c r="S259" s="163">
        <v>5907636</v>
      </c>
      <c r="T259" s="163">
        <v>10560</v>
      </c>
      <c r="U259" s="163">
        <v>119000</v>
      </c>
      <c r="V259" s="163">
        <v>5064</v>
      </c>
      <c r="W259" s="163">
        <v>3136</v>
      </c>
      <c r="X259" s="163">
        <v>8</v>
      </c>
      <c r="Y259" s="163">
        <v>34</v>
      </c>
      <c r="Z259" s="163">
        <v>207</v>
      </c>
      <c r="AA259" s="163">
        <v>264</v>
      </c>
      <c r="AB259" s="163">
        <v>3448</v>
      </c>
      <c r="AC259" s="163">
        <v>2634</v>
      </c>
      <c r="AD259" s="163">
        <v>585</v>
      </c>
      <c r="AE259" s="163">
        <v>174</v>
      </c>
      <c r="AF259" s="163">
        <v>931</v>
      </c>
      <c r="AG259" s="163">
        <v>152</v>
      </c>
      <c r="AH259" s="163">
        <v>80168000</v>
      </c>
      <c r="AI259" s="163">
        <v>80424000</v>
      </c>
    </row>
    <row r="260" spans="1:35" x14ac:dyDescent="0.2">
      <c r="A260" t="s">
        <v>640</v>
      </c>
      <c r="B260" t="s">
        <v>409</v>
      </c>
      <c r="C260" s="163">
        <v>28720102.634057742</v>
      </c>
      <c r="D260" s="163">
        <v>18466178.634057742</v>
      </c>
      <c r="E260" s="163">
        <v>8429229</v>
      </c>
      <c r="F260" s="163">
        <v>4393828.8771634204</v>
      </c>
      <c r="G260" s="163">
        <v>3709130.8771634204</v>
      </c>
      <c r="H260" s="163">
        <v>684698</v>
      </c>
      <c r="I260" s="163">
        <v>2579435.6809652899</v>
      </c>
      <c r="J260" s="163">
        <v>2579435.6809652899</v>
      </c>
      <c r="K260" s="163">
        <v>0</v>
      </c>
      <c r="L260" s="163">
        <v>1455964.6535694201</v>
      </c>
      <c r="M260" s="163">
        <v>96934</v>
      </c>
      <c r="N260" s="163">
        <v>18147</v>
      </c>
      <c r="O260" s="163">
        <v>67742</v>
      </c>
      <c r="P260" s="163">
        <v>1273142</v>
      </c>
      <c r="Q260" s="163">
        <v>1540081</v>
      </c>
      <c r="R260" s="163">
        <v>284614</v>
      </c>
      <c r="S260" s="163">
        <v>3262333</v>
      </c>
      <c r="T260" s="163">
        <v>24333</v>
      </c>
      <c r="U260" s="163">
        <v>270000</v>
      </c>
      <c r="V260" s="163">
        <v>1831</v>
      </c>
      <c r="W260" s="163">
        <v>1560</v>
      </c>
      <c r="X260" s="163">
        <v>0</v>
      </c>
      <c r="Y260" s="163">
        <v>588</v>
      </c>
      <c r="Z260" s="163">
        <v>30</v>
      </c>
      <c r="AA260" s="163">
        <v>110</v>
      </c>
      <c r="AB260" s="163">
        <v>2345</v>
      </c>
      <c r="AC260" s="163">
        <v>2519</v>
      </c>
      <c r="AD260" s="163">
        <v>284</v>
      </c>
      <c r="AE260" s="163">
        <v>205</v>
      </c>
      <c r="AF260" s="163">
        <v>751</v>
      </c>
      <c r="AG260" s="163">
        <v>1024</v>
      </c>
      <c r="AH260" s="163">
        <v>46384000</v>
      </c>
      <c r="AI260" s="163">
        <v>45361000</v>
      </c>
    </row>
    <row r="261" spans="1:35" x14ac:dyDescent="0.2">
      <c r="A261" t="s">
        <v>631</v>
      </c>
      <c r="B261" t="s">
        <v>261</v>
      </c>
      <c r="C261" s="163">
        <v>45145081.654776737</v>
      </c>
      <c r="D261" s="163">
        <v>24686586.654776737</v>
      </c>
      <c r="E261" s="163">
        <v>17323893</v>
      </c>
      <c r="F261" s="163">
        <v>9406363.8027899191</v>
      </c>
      <c r="G261" s="163">
        <v>6400908.8027899191</v>
      </c>
      <c r="H261" s="163">
        <v>3005455</v>
      </c>
      <c r="I261" s="163">
        <v>4617005.2964023501</v>
      </c>
      <c r="J261" s="163">
        <v>4617005.2964023501</v>
      </c>
      <c r="K261" s="163">
        <v>0</v>
      </c>
      <c r="L261" s="163">
        <v>3300523.9432184501</v>
      </c>
      <c r="M261" s="163">
        <v>786601</v>
      </c>
      <c r="N261" s="163">
        <v>108884</v>
      </c>
      <c r="O261" s="163">
        <v>163464</v>
      </c>
      <c r="P261" s="163">
        <v>2241574</v>
      </c>
      <c r="Q261" s="163">
        <v>2857620</v>
      </c>
      <c r="R261" s="163">
        <v>276982</v>
      </c>
      <c r="S261" s="163">
        <v>7815133</v>
      </c>
      <c r="T261" s="163">
        <v>3678</v>
      </c>
      <c r="U261" s="163">
        <v>145000</v>
      </c>
      <c r="V261" s="163">
        <v>4380</v>
      </c>
      <c r="W261" s="163">
        <v>2060</v>
      </c>
      <c r="X261" s="163">
        <v>26</v>
      </c>
      <c r="Y261" s="163">
        <v>10</v>
      </c>
      <c r="Z261" s="163">
        <v>360</v>
      </c>
      <c r="AA261" s="163">
        <v>245</v>
      </c>
      <c r="AB261" s="163">
        <v>3430</v>
      </c>
      <c r="AC261" s="163">
        <v>3380</v>
      </c>
      <c r="AD261" s="163">
        <v>547</v>
      </c>
      <c r="AE261" s="163">
        <v>284</v>
      </c>
      <c r="AF261" s="163">
        <v>392</v>
      </c>
      <c r="AG261" s="163">
        <v>19</v>
      </c>
      <c r="AH261" s="163">
        <v>71488000</v>
      </c>
      <c r="AI261" s="163">
        <v>76902000</v>
      </c>
    </row>
    <row r="262" spans="1:35" x14ac:dyDescent="0.2">
      <c r="A262" t="s">
        <v>636</v>
      </c>
      <c r="B262" t="s">
        <v>289</v>
      </c>
      <c r="C262" s="163">
        <v>5297321.9812228903</v>
      </c>
      <c r="D262" s="163">
        <v>3630589.9812228903</v>
      </c>
      <c r="E262" s="163">
        <v>1427534</v>
      </c>
      <c r="F262" s="163">
        <v>784847.76748521498</v>
      </c>
      <c r="G262" s="163">
        <v>700352.76748521498</v>
      </c>
      <c r="H262" s="163">
        <v>84495</v>
      </c>
      <c r="I262" s="163">
        <v>373913.37395888602</v>
      </c>
      <c r="J262" s="163">
        <v>373913.37395888602</v>
      </c>
      <c r="K262" s="163">
        <v>0</v>
      </c>
      <c r="L262" s="163">
        <v>268773.23248211801</v>
      </c>
      <c r="M262" s="163">
        <v>12396</v>
      </c>
      <c r="N262" s="163">
        <v>9772</v>
      </c>
      <c r="O262" s="163">
        <v>14727</v>
      </c>
      <c r="P262" s="163">
        <v>231879</v>
      </c>
      <c r="Q262" s="163">
        <v>216119</v>
      </c>
      <c r="R262" s="163">
        <v>23079</v>
      </c>
      <c r="S262" s="163">
        <v>510521</v>
      </c>
      <c r="T262" s="163">
        <v>0</v>
      </c>
      <c r="U262" s="163">
        <v>0</v>
      </c>
      <c r="V262" s="163">
        <v>435</v>
      </c>
      <c r="W262" s="163">
        <v>385</v>
      </c>
      <c r="X262" s="163">
        <v>0</v>
      </c>
      <c r="Y262" s="163">
        <v>356</v>
      </c>
      <c r="Z262" s="163">
        <v>40</v>
      </c>
      <c r="AA262" s="163">
        <v>0</v>
      </c>
      <c r="AB262" s="163">
        <v>581</v>
      </c>
      <c r="AC262" s="163">
        <v>463</v>
      </c>
      <c r="AD262" s="163">
        <v>106</v>
      </c>
      <c r="AE262" s="163">
        <v>40</v>
      </c>
      <c r="AF262" s="163">
        <v>195</v>
      </c>
      <c r="AG262" s="163">
        <v>1</v>
      </c>
      <c r="AH262" s="163">
        <v>14267000</v>
      </c>
      <c r="AI262" s="163">
        <v>13671000</v>
      </c>
    </row>
    <row r="263" spans="1:35" x14ac:dyDescent="0.2">
      <c r="A263" t="s">
        <v>629</v>
      </c>
      <c r="B263" t="s">
        <v>458</v>
      </c>
      <c r="C263" s="163">
        <v>17151675.936866481</v>
      </c>
      <c r="D263" s="163">
        <v>9845650.9368664809</v>
      </c>
      <c r="E263" s="163">
        <v>6340353</v>
      </c>
      <c r="F263" s="163">
        <v>2006683.6643532701</v>
      </c>
      <c r="G263" s="163">
        <v>1708018.6643532701</v>
      </c>
      <c r="H263" s="163">
        <v>298665</v>
      </c>
      <c r="I263" s="163">
        <v>1559595.69783837</v>
      </c>
      <c r="J263" s="163">
        <v>1559595.69783837</v>
      </c>
      <c r="K263" s="163">
        <v>0</v>
      </c>
      <c r="L263" s="163">
        <v>2774073.6607103101</v>
      </c>
      <c r="M263" s="163">
        <v>33068</v>
      </c>
      <c r="N263" s="163">
        <v>11168</v>
      </c>
      <c r="O263" s="163">
        <v>54488</v>
      </c>
      <c r="P263" s="163">
        <v>2675350</v>
      </c>
      <c r="Q263" s="163">
        <v>849960</v>
      </c>
      <c r="R263" s="163">
        <v>115712</v>
      </c>
      <c r="S263" s="163">
        <v>1179486</v>
      </c>
      <c r="T263" s="163">
        <v>4602</v>
      </c>
      <c r="U263" s="163">
        <v>0</v>
      </c>
      <c r="V263" s="163">
        <v>1560</v>
      </c>
      <c r="W263" s="163">
        <v>952</v>
      </c>
      <c r="X263" s="163">
        <v>0</v>
      </c>
      <c r="Y263" s="163">
        <v>0</v>
      </c>
      <c r="Z263" s="163">
        <v>152</v>
      </c>
      <c r="AA263" s="163">
        <v>25</v>
      </c>
      <c r="AB263" s="163">
        <v>1347</v>
      </c>
      <c r="AC263" s="163">
        <v>736</v>
      </c>
      <c r="AD263" s="163">
        <v>177</v>
      </c>
      <c r="AE263" s="163">
        <v>0</v>
      </c>
      <c r="AF263" s="163">
        <v>380</v>
      </c>
      <c r="AG263" s="163">
        <v>144</v>
      </c>
      <c r="AH263" s="163">
        <v>28261000</v>
      </c>
      <c r="AI263" s="163">
        <v>28986000</v>
      </c>
    </row>
    <row r="264" spans="1:35" x14ac:dyDescent="0.2">
      <c r="A264" t="s">
        <v>631</v>
      </c>
      <c r="B264" t="s">
        <v>262</v>
      </c>
      <c r="C264" s="163">
        <v>67677139.646233484</v>
      </c>
      <c r="D264" s="163">
        <v>38188558.646233484</v>
      </c>
      <c r="E264" s="163">
        <v>24467404</v>
      </c>
      <c r="F264" s="163">
        <v>9546123.8515497409</v>
      </c>
      <c r="G264" s="163">
        <v>8198547.8515497409</v>
      </c>
      <c r="H264" s="163">
        <v>1347576</v>
      </c>
      <c r="I264" s="163">
        <v>7307524.7669053599</v>
      </c>
      <c r="J264" s="163">
        <v>7307524.7669053599</v>
      </c>
      <c r="K264" s="163">
        <v>0</v>
      </c>
      <c r="L264" s="163">
        <v>7613755.2545950701</v>
      </c>
      <c r="M264" s="163">
        <v>1152378</v>
      </c>
      <c r="N264" s="163">
        <v>111676</v>
      </c>
      <c r="O264" s="163">
        <v>265077</v>
      </c>
      <c r="P264" s="163">
        <v>6084624</v>
      </c>
      <c r="Q264" s="163">
        <v>4520771</v>
      </c>
      <c r="R264" s="163">
        <v>500406</v>
      </c>
      <c r="S264" s="163">
        <v>13881752</v>
      </c>
      <c r="T264" s="163">
        <v>13710</v>
      </c>
      <c r="U264" s="163">
        <v>280000</v>
      </c>
      <c r="V264" s="163">
        <v>5812</v>
      </c>
      <c r="W264" s="163">
        <v>2336</v>
      </c>
      <c r="X264" s="163">
        <v>145</v>
      </c>
      <c r="Y264" s="163">
        <v>0</v>
      </c>
      <c r="Z264" s="163">
        <v>140</v>
      </c>
      <c r="AA264" s="163">
        <v>269</v>
      </c>
      <c r="AB264" s="163">
        <v>4307</v>
      </c>
      <c r="AC264" s="163">
        <v>3365</v>
      </c>
      <c r="AD264" s="163">
        <v>815</v>
      </c>
      <c r="AE264" s="163">
        <v>504</v>
      </c>
      <c r="AF264" s="163">
        <v>624</v>
      </c>
      <c r="AG264" s="163">
        <v>74</v>
      </c>
      <c r="AH264" s="163">
        <v>107589000</v>
      </c>
      <c r="AI264" s="163">
        <v>109521000</v>
      </c>
    </row>
    <row r="265" spans="1:35" x14ac:dyDescent="0.2">
      <c r="A265" t="s">
        <v>636</v>
      </c>
      <c r="B265" t="s">
        <v>290</v>
      </c>
      <c r="C265" s="163">
        <v>24169134.86941836</v>
      </c>
      <c r="D265" s="163">
        <v>15033891.86941836</v>
      </c>
      <c r="E265" s="163">
        <v>7523467</v>
      </c>
      <c r="F265" s="163">
        <v>3365330.2196325199</v>
      </c>
      <c r="G265" s="163">
        <v>2911584.2196325199</v>
      </c>
      <c r="H265" s="163">
        <v>453746</v>
      </c>
      <c r="I265" s="163">
        <v>2374360.9298258401</v>
      </c>
      <c r="J265" s="163">
        <v>2374360.9298258401</v>
      </c>
      <c r="K265" s="163">
        <v>0</v>
      </c>
      <c r="L265" s="163">
        <v>1783776.3202386899</v>
      </c>
      <c r="M265" s="163">
        <v>272310</v>
      </c>
      <c r="N265" s="163">
        <v>23731</v>
      </c>
      <c r="O265" s="163">
        <v>42707</v>
      </c>
      <c r="P265" s="163">
        <v>1445029</v>
      </c>
      <c r="Q265" s="163">
        <v>1438040</v>
      </c>
      <c r="R265" s="163">
        <v>173736</v>
      </c>
      <c r="S265" s="163">
        <v>4019385</v>
      </c>
      <c r="T265" s="163">
        <v>6456</v>
      </c>
      <c r="U265" s="163">
        <v>273000</v>
      </c>
      <c r="V265" s="163">
        <v>2983</v>
      </c>
      <c r="W265" s="163">
        <v>1158</v>
      </c>
      <c r="X265" s="163">
        <v>52</v>
      </c>
      <c r="Y265" s="163">
        <v>1058</v>
      </c>
      <c r="Z265" s="163">
        <v>103</v>
      </c>
      <c r="AA265" s="163">
        <v>215</v>
      </c>
      <c r="AB265" s="163">
        <v>1633</v>
      </c>
      <c r="AC265" s="163">
        <v>1404</v>
      </c>
      <c r="AD265" s="163">
        <v>438</v>
      </c>
      <c r="AE265" s="163">
        <v>470</v>
      </c>
      <c r="AF265" s="163">
        <v>398</v>
      </c>
      <c r="AG265" s="163">
        <v>31</v>
      </c>
      <c r="AH265" s="163">
        <v>40958000</v>
      </c>
      <c r="AI265" s="163">
        <v>41127000</v>
      </c>
    </row>
    <row r="266" spans="1:35" x14ac:dyDescent="0.2">
      <c r="A266" t="s">
        <v>633</v>
      </c>
      <c r="B266" t="s">
        <v>385</v>
      </c>
      <c r="C266" s="163">
        <v>57112001.822734877</v>
      </c>
      <c r="D266" s="163">
        <v>38590279.822734877</v>
      </c>
      <c r="E266" s="163">
        <v>13792328</v>
      </c>
      <c r="F266" s="163">
        <v>6737918.3522474002</v>
      </c>
      <c r="G266" s="163">
        <v>5902221.3522474002</v>
      </c>
      <c r="H266" s="163">
        <v>835697</v>
      </c>
      <c r="I266" s="163">
        <v>6079949.5930583403</v>
      </c>
      <c r="J266" s="163">
        <v>6079949.5930583403</v>
      </c>
      <c r="K266" s="163">
        <v>0</v>
      </c>
      <c r="L266" s="163">
        <v>974460.29854171199</v>
      </c>
      <c r="M266" s="163">
        <v>754207</v>
      </c>
      <c r="N266" s="163">
        <v>92132</v>
      </c>
      <c r="O266" s="163">
        <v>128121</v>
      </c>
      <c r="P266" s="163">
        <v>0</v>
      </c>
      <c r="Q266" s="163">
        <v>4294485</v>
      </c>
      <c r="R266" s="163">
        <v>434909</v>
      </c>
      <c r="S266" s="163">
        <v>11133741</v>
      </c>
      <c r="T266" s="163">
        <v>9188</v>
      </c>
      <c r="U266" s="163">
        <v>504000</v>
      </c>
      <c r="V266" s="163">
        <v>5255</v>
      </c>
      <c r="W266" s="163">
        <v>3602</v>
      </c>
      <c r="X266" s="163">
        <v>407</v>
      </c>
      <c r="Y266" s="163">
        <v>95</v>
      </c>
      <c r="Z266" s="163">
        <v>0</v>
      </c>
      <c r="AA266" s="163">
        <v>1</v>
      </c>
      <c r="AB266" s="163">
        <v>3610</v>
      </c>
      <c r="AC266" s="163">
        <v>4803</v>
      </c>
      <c r="AD266" s="163">
        <v>872</v>
      </c>
      <c r="AE266" s="163">
        <v>694</v>
      </c>
      <c r="AF266" s="163">
        <v>987</v>
      </c>
      <c r="AG266" s="163">
        <v>67</v>
      </c>
      <c r="AH266" s="163">
        <v>114251000</v>
      </c>
      <c r="AI266" s="163">
        <v>116159000</v>
      </c>
    </row>
    <row r="267" spans="1:35" x14ac:dyDescent="0.2">
      <c r="A267" t="s">
        <v>634</v>
      </c>
      <c r="B267" t="s">
        <v>215</v>
      </c>
      <c r="C267" s="163">
        <v>49589211.38503895</v>
      </c>
      <c r="D267" s="163">
        <v>30543145.38503895</v>
      </c>
      <c r="E267" s="163">
        <v>16107806</v>
      </c>
      <c r="F267" s="163">
        <v>8074891.4998054001</v>
      </c>
      <c r="G267" s="163">
        <v>7200785.4998054001</v>
      </c>
      <c r="H267" s="163">
        <v>874106</v>
      </c>
      <c r="I267" s="163">
        <v>4283598.6832822198</v>
      </c>
      <c r="J267" s="163">
        <v>4283598.6832822198</v>
      </c>
      <c r="K267" s="163">
        <v>0</v>
      </c>
      <c r="L267" s="163">
        <v>3749316.1862011799</v>
      </c>
      <c r="M267" s="163">
        <v>167564</v>
      </c>
      <c r="N267" s="163">
        <v>48858</v>
      </c>
      <c r="O267" s="163">
        <v>97195</v>
      </c>
      <c r="P267" s="163">
        <v>3435699</v>
      </c>
      <c r="Q267" s="163">
        <v>2602445</v>
      </c>
      <c r="R267" s="163">
        <v>335815</v>
      </c>
      <c r="S267" s="163">
        <v>5976152</v>
      </c>
      <c r="T267" s="163">
        <v>17667</v>
      </c>
      <c r="U267" s="163">
        <v>228000</v>
      </c>
      <c r="V267" s="163">
        <v>3527</v>
      </c>
      <c r="W267" s="163">
        <v>2847</v>
      </c>
      <c r="X267" s="163">
        <v>1</v>
      </c>
      <c r="Y267" s="163">
        <v>28</v>
      </c>
      <c r="Z267" s="163">
        <v>430</v>
      </c>
      <c r="AA267" s="163">
        <v>347</v>
      </c>
      <c r="AB267" s="163">
        <v>3234</v>
      </c>
      <c r="AC267" s="163">
        <v>2320</v>
      </c>
      <c r="AD267" s="163">
        <v>656</v>
      </c>
      <c r="AE267" s="163">
        <v>512</v>
      </c>
      <c r="AF267" s="163">
        <v>630</v>
      </c>
      <c r="AG267" s="163">
        <v>146</v>
      </c>
      <c r="AH267" s="163">
        <v>115622000</v>
      </c>
      <c r="AI267" s="163">
        <v>119354000</v>
      </c>
    </row>
    <row r="268" spans="1:35" x14ac:dyDescent="0.2">
      <c r="A268" t="s">
        <v>633</v>
      </c>
      <c r="B268" t="s">
        <v>386</v>
      </c>
      <c r="C268" s="163">
        <v>73871452.965065658</v>
      </c>
      <c r="D268" s="163">
        <v>48695512.965065658</v>
      </c>
      <c r="E268" s="163">
        <v>19747139</v>
      </c>
      <c r="F268" s="163">
        <v>9353684.2124698795</v>
      </c>
      <c r="G268" s="163">
        <v>8145346.2124698795</v>
      </c>
      <c r="H268" s="163">
        <v>1208338</v>
      </c>
      <c r="I268" s="163">
        <v>6372745.3839255404</v>
      </c>
      <c r="J268" s="163">
        <v>6372745.3839255404</v>
      </c>
      <c r="K268" s="163">
        <v>0</v>
      </c>
      <c r="L268" s="163">
        <v>4020709.58113294</v>
      </c>
      <c r="M268" s="163">
        <v>1659430</v>
      </c>
      <c r="N268" s="163">
        <v>142387</v>
      </c>
      <c r="O268" s="163">
        <v>209117</v>
      </c>
      <c r="P268" s="163">
        <v>2009777</v>
      </c>
      <c r="Q268" s="163">
        <v>4935031</v>
      </c>
      <c r="R268" s="163">
        <v>493770</v>
      </c>
      <c r="S268" s="163">
        <v>18901936</v>
      </c>
      <c r="T268" s="163">
        <v>7986</v>
      </c>
      <c r="U268" s="163">
        <v>643000</v>
      </c>
      <c r="V268" s="163">
        <v>5650</v>
      </c>
      <c r="W268" s="163">
        <v>5830</v>
      </c>
      <c r="X268" s="163">
        <v>1251</v>
      </c>
      <c r="Y268" s="163">
        <v>289</v>
      </c>
      <c r="Z268" s="163">
        <v>247</v>
      </c>
      <c r="AA268" s="163">
        <v>235</v>
      </c>
      <c r="AB268" s="163">
        <v>4141</v>
      </c>
      <c r="AC268" s="163">
        <v>7212</v>
      </c>
      <c r="AD268" s="163">
        <v>1087</v>
      </c>
      <c r="AE268" s="163">
        <v>0</v>
      </c>
      <c r="AF268" s="163">
        <v>1625</v>
      </c>
      <c r="AG268" s="163">
        <v>152</v>
      </c>
      <c r="AH268" s="163">
        <v>168782000</v>
      </c>
      <c r="AI268" s="163">
        <v>163977000</v>
      </c>
    </row>
    <row r="269" spans="1:35" x14ac:dyDescent="0.2">
      <c r="A269" t="s">
        <v>638</v>
      </c>
      <c r="B269" t="s">
        <v>499</v>
      </c>
      <c r="C269" s="163">
        <v>28306561.270624705</v>
      </c>
      <c r="D269" s="163">
        <v>16103532.270624705</v>
      </c>
      <c r="E269" s="163">
        <v>10235402</v>
      </c>
      <c r="F269" s="163">
        <v>3677490.32095689</v>
      </c>
      <c r="G269" s="163">
        <v>3054912.32095689</v>
      </c>
      <c r="H269" s="163">
        <v>622578</v>
      </c>
      <c r="I269" s="163">
        <v>3076739.8281675898</v>
      </c>
      <c r="J269" s="163">
        <v>3076739.8281675898</v>
      </c>
      <c r="K269" s="163">
        <v>0</v>
      </c>
      <c r="L269" s="163">
        <v>3267517.4252267</v>
      </c>
      <c r="M269" s="163">
        <v>254012</v>
      </c>
      <c r="N269" s="163">
        <v>19543</v>
      </c>
      <c r="O269" s="163">
        <v>80996</v>
      </c>
      <c r="P269" s="163">
        <v>2912966</v>
      </c>
      <c r="Q269" s="163">
        <v>1788087</v>
      </c>
      <c r="R269" s="163">
        <v>179540</v>
      </c>
      <c r="S269" s="163">
        <v>3894302</v>
      </c>
      <c r="T269" s="163">
        <v>17976</v>
      </c>
      <c r="U269" s="163">
        <v>105000</v>
      </c>
      <c r="V269" s="163">
        <v>2412</v>
      </c>
      <c r="W269" s="163">
        <v>727</v>
      </c>
      <c r="X269" s="163">
        <v>0</v>
      </c>
      <c r="Y269" s="163">
        <v>0</v>
      </c>
      <c r="Z269" s="163">
        <v>408</v>
      </c>
      <c r="AA269" s="163">
        <v>133</v>
      </c>
      <c r="AB269" s="163">
        <v>2169</v>
      </c>
      <c r="AC269" s="163">
        <v>1743</v>
      </c>
      <c r="AD269" s="163">
        <v>323</v>
      </c>
      <c r="AE269" s="163">
        <v>40</v>
      </c>
      <c r="AF269" s="163">
        <v>283</v>
      </c>
      <c r="AG269" s="163">
        <v>6</v>
      </c>
      <c r="AH269" s="163">
        <v>44002000</v>
      </c>
      <c r="AI269" s="163">
        <v>45977000</v>
      </c>
    </row>
    <row r="270" spans="1:35" x14ac:dyDescent="0.2">
      <c r="A270" t="s">
        <v>638</v>
      </c>
      <c r="B270" t="s">
        <v>500</v>
      </c>
      <c r="C270" s="163">
        <v>100712043.18226814</v>
      </c>
      <c r="D270" s="163">
        <v>57131400.182268143</v>
      </c>
      <c r="E270" s="163">
        <v>37568133</v>
      </c>
      <c r="F270" s="163">
        <v>14014407.8371877</v>
      </c>
      <c r="G270" s="163">
        <v>11569264.8371877</v>
      </c>
      <c r="H270" s="163">
        <v>2445143</v>
      </c>
      <c r="I270" s="163">
        <v>9098690.5078340396</v>
      </c>
      <c r="J270" s="163">
        <v>9098690.5078340396</v>
      </c>
      <c r="K270" s="163">
        <v>0</v>
      </c>
      <c r="L270" s="163">
        <v>14455034.908353001</v>
      </c>
      <c r="M270" s="163">
        <v>2490073</v>
      </c>
      <c r="N270" s="163">
        <v>122843</v>
      </c>
      <c r="O270" s="163">
        <v>459467</v>
      </c>
      <c r="P270" s="163">
        <v>11382651</v>
      </c>
      <c r="Q270" s="163">
        <v>5271211</v>
      </c>
      <c r="R270" s="163">
        <v>741299</v>
      </c>
      <c r="S270" s="163">
        <v>26601385</v>
      </c>
      <c r="T270" s="163">
        <v>8843</v>
      </c>
      <c r="U270" s="163">
        <v>1932000</v>
      </c>
      <c r="V270" s="163">
        <v>7299</v>
      </c>
      <c r="W270" s="163">
        <v>6233</v>
      </c>
      <c r="X270" s="163">
        <v>2809</v>
      </c>
      <c r="Y270" s="163">
        <v>275</v>
      </c>
      <c r="Z270" s="163">
        <v>400</v>
      </c>
      <c r="AA270" s="163">
        <v>1151</v>
      </c>
      <c r="AB270" s="163">
        <v>5059</v>
      </c>
      <c r="AC270" s="163">
        <v>5882</v>
      </c>
      <c r="AD270" s="163">
        <v>1148</v>
      </c>
      <c r="AE270" s="163">
        <v>251</v>
      </c>
      <c r="AF270" s="163">
        <v>1089</v>
      </c>
      <c r="AG270" s="163">
        <v>823</v>
      </c>
      <c r="AH270" s="163">
        <v>165639000</v>
      </c>
      <c r="AI270" s="163">
        <v>173392000</v>
      </c>
    </row>
    <row r="271" spans="1:35" x14ac:dyDescent="0.2">
      <c r="A271" t="s">
        <v>629</v>
      </c>
      <c r="B271" t="s">
        <v>459</v>
      </c>
      <c r="C271" s="163">
        <v>122530151.05999555</v>
      </c>
      <c r="D271" s="163">
        <v>70802322.059995547</v>
      </c>
      <c r="E271" s="163">
        <v>44137291</v>
      </c>
      <c r="F271" s="163">
        <v>16536956.9378781</v>
      </c>
      <c r="G271" s="163">
        <v>13752704.9378781</v>
      </c>
      <c r="H271" s="163">
        <v>2784252</v>
      </c>
      <c r="I271" s="163">
        <v>10894529.7793267</v>
      </c>
      <c r="J271" s="163">
        <v>10894529.7793267</v>
      </c>
      <c r="K271" s="163">
        <v>0</v>
      </c>
      <c r="L271" s="163">
        <v>16705804.2801937</v>
      </c>
      <c r="M271" s="163">
        <v>2249187</v>
      </c>
      <c r="N271" s="163">
        <v>154950</v>
      </c>
      <c r="O271" s="163">
        <v>455049</v>
      </c>
      <c r="P271" s="163">
        <v>13846618</v>
      </c>
      <c r="Q271" s="163">
        <v>6564799</v>
      </c>
      <c r="R271" s="163">
        <v>1025739</v>
      </c>
      <c r="S271" s="163">
        <v>28420073</v>
      </c>
      <c r="T271" s="163">
        <v>14961</v>
      </c>
      <c r="U271" s="163">
        <v>2177000</v>
      </c>
      <c r="V271" s="163">
        <v>7763</v>
      </c>
      <c r="W271" s="163">
        <v>5191</v>
      </c>
      <c r="X271" s="163">
        <v>2021</v>
      </c>
      <c r="Y271" s="163">
        <v>108</v>
      </c>
      <c r="Z271" s="163">
        <v>178</v>
      </c>
      <c r="AA271" s="163">
        <v>600</v>
      </c>
      <c r="AB271" s="163">
        <v>11471</v>
      </c>
      <c r="AC271" s="163">
        <v>7745</v>
      </c>
      <c r="AD271" s="163">
        <v>1406</v>
      </c>
      <c r="AE271" s="163">
        <v>0</v>
      </c>
      <c r="AF271" s="163">
        <v>1436</v>
      </c>
      <c r="AG271" s="163">
        <v>132</v>
      </c>
      <c r="AH271" s="163">
        <v>215996000</v>
      </c>
      <c r="AI271" s="163">
        <v>223381000</v>
      </c>
    </row>
    <row r="272" spans="1:35" x14ac:dyDescent="0.2">
      <c r="A272" t="s">
        <v>633</v>
      </c>
      <c r="B272" t="s">
        <v>387</v>
      </c>
      <c r="C272" s="163">
        <v>1577502919.7018991</v>
      </c>
      <c r="D272" s="163">
        <v>987285694.70189905</v>
      </c>
      <c r="E272" s="163">
        <v>457811619</v>
      </c>
      <c r="F272" s="163">
        <v>167215697.924355</v>
      </c>
      <c r="G272" s="163">
        <v>140763504.924355</v>
      </c>
      <c r="H272" s="163">
        <v>26452193</v>
      </c>
      <c r="I272" s="163">
        <v>176054907.264781</v>
      </c>
      <c r="J272" s="163">
        <v>74024737.003284007</v>
      </c>
      <c r="K272" s="163">
        <v>102030170.26149699</v>
      </c>
      <c r="L272" s="163">
        <v>114541013.553201</v>
      </c>
      <c r="M272" s="163">
        <v>60160165</v>
      </c>
      <c r="N272" s="163">
        <v>1749121</v>
      </c>
      <c r="O272" s="163">
        <v>2803929</v>
      </c>
      <c r="P272" s="163">
        <v>49827797</v>
      </c>
      <c r="Q272" s="163">
        <v>50824421</v>
      </c>
      <c r="R272" s="163">
        <v>81581185</v>
      </c>
      <c r="S272" s="163">
        <v>508107704</v>
      </c>
      <c r="T272" s="163">
        <v>85355</v>
      </c>
      <c r="U272" s="163">
        <v>54902000</v>
      </c>
      <c r="V272" s="163">
        <v>61167</v>
      </c>
      <c r="W272" s="163">
        <v>180802</v>
      </c>
      <c r="X272" s="163">
        <v>94799</v>
      </c>
      <c r="Y272" s="163">
        <v>21827</v>
      </c>
      <c r="Z272" s="163">
        <v>4593</v>
      </c>
      <c r="AA272" s="163">
        <v>2977</v>
      </c>
      <c r="AB272" s="163">
        <v>69361</v>
      </c>
      <c r="AC272" s="163">
        <v>94346</v>
      </c>
      <c r="AD272" s="163">
        <v>12633</v>
      </c>
      <c r="AE272" s="163">
        <v>6267</v>
      </c>
      <c r="AF272" s="163">
        <v>17225</v>
      </c>
      <c r="AG272" s="163">
        <v>9251</v>
      </c>
      <c r="AH272" s="163">
        <v>3379728000</v>
      </c>
      <c r="AI272" s="163">
        <v>3544357000</v>
      </c>
    </row>
    <row r="273" spans="1:35" x14ac:dyDescent="0.2">
      <c r="A273" t="s">
        <v>631</v>
      </c>
      <c r="B273" t="s">
        <v>264</v>
      </c>
      <c r="C273" s="163">
        <v>2334860.8763125748</v>
      </c>
      <c r="D273" s="163">
        <v>2011269.8763125748</v>
      </c>
      <c r="E273" s="163">
        <v>246550</v>
      </c>
      <c r="F273" s="163">
        <v>77127.986924641504</v>
      </c>
      <c r="G273" s="163">
        <v>53987.986924641504</v>
      </c>
      <c r="H273" s="163">
        <v>23140</v>
      </c>
      <c r="I273" s="163">
        <v>126415.3702968</v>
      </c>
      <c r="J273" s="163">
        <v>126415.3702968</v>
      </c>
      <c r="K273" s="163">
        <v>0</v>
      </c>
      <c r="L273" s="163">
        <v>43006.755971505998</v>
      </c>
      <c r="M273" s="163">
        <v>3246</v>
      </c>
      <c r="N273" s="163">
        <v>0</v>
      </c>
      <c r="O273" s="163">
        <v>0</v>
      </c>
      <c r="P273" s="163">
        <v>39761</v>
      </c>
      <c r="Q273" s="163">
        <v>72949</v>
      </c>
      <c r="R273" s="163">
        <v>4092</v>
      </c>
      <c r="S273" s="163">
        <v>76224</v>
      </c>
      <c r="T273" s="163">
        <v>0</v>
      </c>
      <c r="U273" s="163">
        <v>0</v>
      </c>
      <c r="V273" s="163">
        <v>333</v>
      </c>
      <c r="W273" s="163">
        <v>53</v>
      </c>
      <c r="X273" s="163">
        <v>0</v>
      </c>
      <c r="Y273" s="163">
        <v>0</v>
      </c>
      <c r="Z273" s="163">
        <v>0</v>
      </c>
      <c r="AA273" s="163">
        <v>0</v>
      </c>
      <c r="AB273" s="163">
        <v>150</v>
      </c>
      <c r="AC273" s="163">
        <v>146</v>
      </c>
      <c r="AD273" s="163">
        <v>43</v>
      </c>
      <c r="AE273" s="163">
        <v>70</v>
      </c>
      <c r="AF273" s="163">
        <v>49</v>
      </c>
      <c r="AG273" s="163">
        <v>3</v>
      </c>
      <c r="AH273" s="163">
        <v>6410000</v>
      </c>
      <c r="AI273" s="163">
        <v>6590000</v>
      </c>
    </row>
    <row r="274" spans="1:35" x14ac:dyDescent="0.2">
      <c r="A274" t="s">
        <v>638</v>
      </c>
      <c r="B274" t="s">
        <v>460</v>
      </c>
      <c r="C274" s="163">
        <v>33336322.105549634</v>
      </c>
      <c r="D274" s="163">
        <v>16634429.105549634</v>
      </c>
      <c r="E274" s="163">
        <v>14468169</v>
      </c>
      <c r="F274" s="163">
        <v>3742693.1565077798</v>
      </c>
      <c r="G274" s="163">
        <v>3373737.1565077798</v>
      </c>
      <c r="H274" s="163">
        <v>368956</v>
      </c>
      <c r="I274" s="163">
        <v>3840327.3463225099</v>
      </c>
      <c r="J274" s="163">
        <v>3840327.3463225099</v>
      </c>
      <c r="K274" s="163">
        <v>0</v>
      </c>
      <c r="L274" s="163">
        <v>6885148.2888649497</v>
      </c>
      <c r="M274" s="163">
        <v>282062</v>
      </c>
      <c r="N274" s="163">
        <v>44670</v>
      </c>
      <c r="O274" s="163">
        <v>163464</v>
      </c>
      <c r="P274" s="163">
        <v>6394951</v>
      </c>
      <c r="Q274" s="163">
        <v>2092269</v>
      </c>
      <c r="R274" s="163">
        <v>141455</v>
      </c>
      <c r="S274" s="163">
        <v>4492805</v>
      </c>
      <c r="T274" s="163">
        <v>4742</v>
      </c>
      <c r="U274" s="163">
        <v>237000</v>
      </c>
      <c r="V274" s="163">
        <v>2640</v>
      </c>
      <c r="W274" s="163">
        <v>961</v>
      </c>
      <c r="X274" s="163">
        <v>6</v>
      </c>
      <c r="Y274" s="163">
        <v>0</v>
      </c>
      <c r="Z274" s="163">
        <v>110</v>
      </c>
      <c r="AA274" s="163">
        <v>17</v>
      </c>
      <c r="AB274" s="163">
        <v>2288</v>
      </c>
      <c r="AC274" s="163">
        <v>1694</v>
      </c>
      <c r="AD274" s="163">
        <v>379</v>
      </c>
      <c r="AE274" s="163">
        <v>33</v>
      </c>
      <c r="AF274" s="163">
        <v>275</v>
      </c>
      <c r="AG274" s="163">
        <v>20</v>
      </c>
      <c r="AH274" s="163">
        <v>50324000</v>
      </c>
      <c r="AI274" s="163">
        <v>52034000</v>
      </c>
    </row>
    <row r="275" spans="1:35" x14ac:dyDescent="0.2">
      <c r="A275" t="s">
        <v>630</v>
      </c>
      <c r="B275" t="s">
        <v>334</v>
      </c>
      <c r="C275" s="163">
        <v>61312698.612269826</v>
      </c>
      <c r="D275" s="163">
        <v>38851050.612269826</v>
      </c>
      <c r="E275" s="163">
        <v>18643461</v>
      </c>
      <c r="F275" s="163">
        <v>8272816.8877023701</v>
      </c>
      <c r="G275" s="163">
        <v>7121991.8877023701</v>
      </c>
      <c r="H275" s="163">
        <v>1150825</v>
      </c>
      <c r="I275" s="163">
        <v>5735412.8487788998</v>
      </c>
      <c r="J275" s="163">
        <v>5735412.8487788998</v>
      </c>
      <c r="K275" s="163">
        <v>0</v>
      </c>
      <c r="L275" s="163">
        <v>4635231.5418895604</v>
      </c>
      <c r="M275" s="163">
        <v>345540</v>
      </c>
      <c r="N275" s="163">
        <v>104696</v>
      </c>
      <c r="O275" s="163">
        <v>153156</v>
      </c>
      <c r="P275" s="163">
        <v>4031839</v>
      </c>
      <c r="Q275" s="163">
        <v>3282657</v>
      </c>
      <c r="R275" s="163">
        <v>535530</v>
      </c>
      <c r="S275" s="163">
        <v>8112860</v>
      </c>
      <c r="T275" s="163">
        <v>7312</v>
      </c>
      <c r="U275" s="163">
        <v>59000</v>
      </c>
      <c r="V275" s="163">
        <v>6739</v>
      </c>
      <c r="W275" s="163">
        <v>3275</v>
      </c>
      <c r="X275" s="163">
        <v>6</v>
      </c>
      <c r="Y275" s="163">
        <v>2185</v>
      </c>
      <c r="Z275" s="163">
        <v>1113</v>
      </c>
      <c r="AA275" s="163">
        <v>1414</v>
      </c>
      <c r="AB275" s="163">
        <v>3800</v>
      </c>
      <c r="AC275" s="163">
        <v>5125</v>
      </c>
      <c r="AD275" s="163">
        <v>937</v>
      </c>
      <c r="AE275" s="163">
        <v>249</v>
      </c>
      <c r="AF275" s="163">
        <v>1231</v>
      </c>
      <c r="AG275" s="163">
        <v>75</v>
      </c>
      <c r="AH275" s="163">
        <v>123951000</v>
      </c>
      <c r="AI275" s="163">
        <v>128461000</v>
      </c>
    </row>
    <row r="276" spans="1:35" x14ac:dyDescent="0.2">
      <c r="A276" t="s">
        <v>631</v>
      </c>
      <c r="B276" t="s">
        <v>265</v>
      </c>
      <c r="C276" s="163">
        <v>10563106.693248091</v>
      </c>
      <c r="D276" s="163">
        <v>6768277.6932480913</v>
      </c>
      <c r="E276" s="163">
        <v>3112401</v>
      </c>
      <c r="F276" s="163">
        <v>1897145.75660737</v>
      </c>
      <c r="G276" s="163">
        <v>1700555.75660737</v>
      </c>
      <c r="H276" s="163">
        <v>196590</v>
      </c>
      <c r="I276" s="163">
        <v>964168.44138629397</v>
      </c>
      <c r="J276" s="163">
        <v>964168.44138629397</v>
      </c>
      <c r="K276" s="163">
        <v>0</v>
      </c>
      <c r="L276" s="163">
        <v>251086.83193614701</v>
      </c>
      <c r="M276" s="163">
        <v>23092</v>
      </c>
      <c r="N276" s="163">
        <v>15355</v>
      </c>
      <c r="O276" s="163">
        <v>22090</v>
      </c>
      <c r="P276" s="163">
        <v>190550</v>
      </c>
      <c r="Q276" s="163">
        <v>614616</v>
      </c>
      <c r="R276" s="163">
        <v>67812</v>
      </c>
      <c r="S276" s="163">
        <v>888540</v>
      </c>
      <c r="T276" s="163">
        <v>1503</v>
      </c>
      <c r="U276" s="163">
        <v>0</v>
      </c>
      <c r="V276" s="163">
        <v>1198</v>
      </c>
      <c r="W276" s="163">
        <v>494</v>
      </c>
      <c r="X276" s="163">
        <v>0</v>
      </c>
      <c r="Y276" s="163">
        <v>0</v>
      </c>
      <c r="Z276" s="163">
        <v>119</v>
      </c>
      <c r="AA276" s="163">
        <v>45</v>
      </c>
      <c r="AB276" s="163">
        <v>1080</v>
      </c>
      <c r="AC276" s="163">
        <v>752</v>
      </c>
      <c r="AD276" s="163">
        <v>167</v>
      </c>
      <c r="AE276" s="163">
        <v>141</v>
      </c>
      <c r="AF276" s="163">
        <v>320</v>
      </c>
      <c r="AG276" s="163">
        <v>62</v>
      </c>
      <c r="AH276" s="163">
        <v>18100000</v>
      </c>
      <c r="AI276" s="163">
        <v>18792000</v>
      </c>
    </row>
    <row r="277" spans="1:35" x14ac:dyDescent="0.2">
      <c r="A277" t="s">
        <v>633</v>
      </c>
      <c r="B277" t="s">
        <v>388</v>
      </c>
      <c r="C277" s="163">
        <v>139214565.18849191</v>
      </c>
      <c r="D277" s="163">
        <v>90589271.188491911</v>
      </c>
      <c r="E277" s="163">
        <v>40407741</v>
      </c>
      <c r="F277" s="163">
        <v>16736533.338850999</v>
      </c>
      <c r="G277" s="163">
        <v>14690177.338850999</v>
      </c>
      <c r="H277" s="163">
        <v>2046356</v>
      </c>
      <c r="I277" s="163">
        <v>9423497.7175428998</v>
      </c>
      <c r="J277" s="163">
        <v>9423497.7175428998</v>
      </c>
      <c r="K277" s="163">
        <v>0</v>
      </c>
      <c r="L277" s="163">
        <v>14247710.2700988</v>
      </c>
      <c r="M277" s="163">
        <v>3739157</v>
      </c>
      <c r="N277" s="163">
        <v>182869</v>
      </c>
      <c r="O277" s="163">
        <v>332819</v>
      </c>
      <c r="P277" s="163">
        <v>9992865</v>
      </c>
      <c r="Q277" s="163">
        <v>6283780</v>
      </c>
      <c r="R277" s="163">
        <v>1933773</v>
      </c>
      <c r="S277" s="163">
        <v>36608972</v>
      </c>
      <c r="T277" s="163">
        <v>2999</v>
      </c>
      <c r="U277" s="163">
        <v>5395000</v>
      </c>
      <c r="V277" s="163">
        <v>6939</v>
      </c>
      <c r="W277" s="163">
        <v>7202</v>
      </c>
      <c r="X277" s="163">
        <v>2725</v>
      </c>
      <c r="Y277" s="163">
        <v>163</v>
      </c>
      <c r="Z277" s="163">
        <v>0</v>
      </c>
      <c r="AA277" s="163">
        <v>285</v>
      </c>
      <c r="AB277" s="163">
        <v>9623</v>
      </c>
      <c r="AC277" s="163">
        <v>11196</v>
      </c>
      <c r="AD277" s="163">
        <v>1392</v>
      </c>
      <c r="AE277" s="163">
        <v>0</v>
      </c>
      <c r="AF277" s="163">
        <v>811</v>
      </c>
      <c r="AG277" s="163">
        <v>1599</v>
      </c>
      <c r="AH277" s="163">
        <v>262822000</v>
      </c>
      <c r="AI277" s="163">
        <v>262978000</v>
      </c>
    </row>
    <row r="278" spans="1:35" x14ac:dyDescent="0.2">
      <c r="A278" t="s">
        <v>632</v>
      </c>
      <c r="B278" t="s">
        <v>193</v>
      </c>
      <c r="C278" s="163">
        <v>2785059.1361110606</v>
      </c>
      <c r="D278" s="163">
        <v>2401907.1361110606</v>
      </c>
      <c r="E278" s="163">
        <v>259609</v>
      </c>
      <c r="F278" s="163">
        <v>145083.984510429</v>
      </c>
      <c r="G278" s="163">
        <v>144211.984510429</v>
      </c>
      <c r="H278" s="163">
        <v>872</v>
      </c>
      <c r="I278" s="163">
        <v>109039.590907712</v>
      </c>
      <c r="J278" s="163">
        <v>109039.590907712</v>
      </c>
      <c r="K278" s="163">
        <v>0</v>
      </c>
      <c r="L278" s="163">
        <v>5485.3214131472896</v>
      </c>
      <c r="M278" s="163">
        <v>5485</v>
      </c>
      <c r="N278" s="163">
        <v>0</v>
      </c>
      <c r="O278" s="163">
        <v>0</v>
      </c>
      <c r="P278" s="163">
        <v>0</v>
      </c>
      <c r="Q278" s="163">
        <v>99620</v>
      </c>
      <c r="R278" s="163">
        <v>23923</v>
      </c>
      <c r="S278" s="163">
        <v>125808</v>
      </c>
      <c r="T278" s="163">
        <v>0</v>
      </c>
      <c r="U278" s="163">
        <v>0</v>
      </c>
      <c r="V278" s="163">
        <v>332</v>
      </c>
      <c r="W278" s="163">
        <v>169</v>
      </c>
      <c r="X278" s="163">
        <v>0</v>
      </c>
      <c r="Y278" s="163">
        <v>0</v>
      </c>
      <c r="Z278" s="163">
        <v>1091</v>
      </c>
      <c r="AA278" s="163">
        <v>211</v>
      </c>
      <c r="AB278" s="163">
        <v>208</v>
      </c>
      <c r="AC278" s="163">
        <v>449</v>
      </c>
      <c r="AD278" s="163">
        <v>27</v>
      </c>
      <c r="AE278" s="163">
        <v>36</v>
      </c>
      <c r="AF278" s="163">
        <v>102</v>
      </c>
      <c r="AG278" s="163">
        <v>0</v>
      </c>
      <c r="AH278" s="163">
        <v>5894000</v>
      </c>
      <c r="AI278" s="163">
        <v>5988000</v>
      </c>
    </row>
    <row r="279" spans="1:35" x14ac:dyDescent="0.2">
      <c r="A279" t="s">
        <v>638</v>
      </c>
      <c r="B279" t="s">
        <v>501</v>
      </c>
      <c r="C279" s="163">
        <v>17647869.061613932</v>
      </c>
      <c r="D279" s="163">
        <v>10852473.061613932</v>
      </c>
      <c r="E279" s="163">
        <v>5593724</v>
      </c>
      <c r="F279" s="163">
        <v>2142241.51880504</v>
      </c>
      <c r="G279" s="163">
        <v>1911016.51880504</v>
      </c>
      <c r="H279" s="163">
        <v>231225</v>
      </c>
      <c r="I279" s="163">
        <v>2203497.6021591499</v>
      </c>
      <c r="J279" s="163">
        <v>2203497.6021591499</v>
      </c>
      <c r="K279" s="163">
        <v>0</v>
      </c>
      <c r="L279" s="163">
        <v>1247985.1742694799</v>
      </c>
      <c r="M279" s="163">
        <v>200586</v>
      </c>
      <c r="N279" s="163">
        <v>23731</v>
      </c>
      <c r="O279" s="163">
        <v>38289</v>
      </c>
      <c r="P279" s="163">
        <v>985379</v>
      </c>
      <c r="Q279" s="163">
        <v>1093979</v>
      </c>
      <c r="R279" s="163">
        <v>107693</v>
      </c>
      <c r="S279" s="163">
        <v>2502396</v>
      </c>
      <c r="T279" s="163">
        <v>5896</v>
      </c>
      <c r="U279" s="163">
        <v>79000</v>
      </c>
      <c r="V279" s="163">
        <v>1804</v>
      </c>
      <c r="W279" s="163">
        <v>483</v>
      </c>
      <c r="X279" s="163">
        <v>0</v>
      </c>
      <c r="Y279" s="163">
        <v>0</v>
      </c>
      <c r="Z279" s="163">
        <v>24</v>
      </c>
      <c r="AA279" s="163">
        <v>87</v>
      </c>
      <c r="AB279" s="163">
        <v>1743</v>
      </c>
      <c r="AC279" s="163">
        <v>1120</v>
      </c>
      <c r="AD279" s="163">
        <v>252</v>
      </c>
      <c r="AE279" s="163">
        <v>0</v>
      </c>
      <c r="AF279" s="163">
        <v>100</v>
      </c>
      <c r="AG279" s="163">
        <v>0</v>
      </c>
      <c r="AH279" s="163">
        <v>27118000</v>
      </c>
      <c r="AI279" s="163">
        <v>27381000</v>
      </c>
    </row>
    <row r="280" spans="1:35" x14ac:dyDescent="0.2">
      <c r="A280" t="s">
        <v>640</v>
      </c>
      <c r="B280" t="s">
        <v>410</v>
      </c>
      <c r="C280" s="163">
        <v>49314529.716029689</v>
      </c>
      <c r="D280" s="163">
        <v>30276764.716029689</v>
      </c>
      <c r="E280" s="163">
        <v>15615232</v>
      </c>
      <c r="F280" s="163">
        <v>5403110.3870925102</v>
      </c>
      <c r="G280" s="163">
        <v>4432223.3870925102</v>
      </c>
      <c r="H280" s="163">
        <v>970887</v>
      </c>
      <c r="I280" s="163">
        <v>4878544.4891160596</v>
      </c>
      <c r="J280" s="163">
        <v>4878544.4891160596</v>
      </c>
      <c r="K280" s="163">
        <v>0</v>
      </c>
      <c r="L280" s="163">
        <v>5333577.4655371197</v>
      </c>
      <c r="M280" s="163">
        <v>358505</v>
      </c>
      <c r="N280" s="163">
        <v>29315</v>
      </c>
      <c r="O280" s="163">
        <v>154628</v>
      </c>
      <c r="P280" s="163">
        <v>4791129</v>
      </c>
      <c r="Q280" s="163">
        <v>2957929</v>
      </c>
      <c r="R280" s="163">
        <v>464604</v>
      </c>
      <c r="S280" s="163">
        <v>6304825</v>
      </c>
      <c r="T280" s="163">
        <v>17469</v>
      </c>
      <c r="U280" s="163">
        <v>83000</v>
      </c>
      <c r="V280" s="163">
        <v>6416</v>
      </c>
      <c r="W280" s="163">
        <v>1904</v>
      </c>
      <c r="X280" s="163">
        <v>1654</v>
      </c>
      <c r="Y280" s="163">
        <v>1425</v>
      </c>
      <c r="Z280" s="163">
        <v>5212</v>
      </c>
      <c r="AA280" s="163">
        <v>2408</v>
      </c>
      <c r="AB280" s="163">
        <v>6285</v>
      </c>
      <c r="AC280" s="163">
        <v>4302</v>
      </c>
      <c r="AD280" s="163">
        <v>629</v>
      </c>
      <c r="AE280" s="163">
        <v>448</v>
      </c>
      <c r="AF280" s="163">
        <v>1370</v>
      </c>
      <c r="AG280" s="163">
        <v>977</v>
      </c>
      <c r="AH280" s="163">
        <v>95780000</v>
      </c>
      <c r="AI280" s="163">
        <v>97202000</v>
      </c>
    </row>
    <row r="281" spans="1:35" x14ac:dyDescent="0.2">
      <c r="A281" t="s">
        <v>633</v>
      </c>
      <c r="B281" t="s">
        <v>528</v>
      </c>
      <c r="C281" s="163">
        <v>1219664309.7920527</v>
      </c>
      <c r="D281" s="163">
        <v>794655927.79205275</v>
      </c>
      <c r="E281" s="163">
        <v>335071133</v>
      </c>
      <c r="F281" s="163">
        <v>125397267.848169</v>
      </c>
      <c r="G281" s="163">
        <v>109812115.848169</v>
      </c>
      <c r="H281" s="163">
        <v>15585152</v>
      </c>
      <c r="I281" s="163">
        <v>126470620.752657</v>
      </c>
      <c r="J281" s="163">
        <v>51026078.468640268</v>
      </c>
      <c r="K281" s="163">
        <v>75444542.284016728</v>
      </c>
      <c r="L281" s="163">
        <v>83203244.709255397</v>
      </c>
      <c r="M281" s="163">
        <v>38665739</v>
      </c>
      <c r="N281" s="163">
        <v>1495059</v>
      </c>
      <c r="O281" s="163">
        <v>2077912</v>
      </c>
      <c r="P281" s="163">
        <v>40964535</v>
      </c>
      <c r="Q281" s="163">
        <v>36031774</v>
      </c>
      <c r="R281" s="163">
        <v>53905475</v>
      </c>
      <c r="S281" s="163">
        <v>316047791</v>
      </c>
      <c r="T281" s="163">
        <v>81416</v>
      </c>
      <c r="U281" s="163">
        <v>40311000</v>
      </c>
      <c r="V281" s="163">
        <v>31883</v>
      </c>
      <c r="W281" s="163">
        <v>54058</v>
      </c>
      <c r="X281" s="163">
        <v>49454</v>
      </c>
      <c r="Y281" s="163">
        <v>16305</v>
      </c>
      <c r="Z281" s="163">
        <v>6991</v>
      </c>
      <c r="AA281" s="163">
        <v>2028</v>
      </c>
      <c r="AB281" s="163">
        <v>38426</v>
      </c>
      <c r="AC281" s="163">
        <v>59480</v>
      </c>
      <c r="AD281" s="163">
        <v>11235</v>
      </c>
      <c r="AE281" s="163">
        <v>2202</v>
      </c>
      <c r="AF281" s="163">
        <v>13213</v>
      </c>
      <c r="AG281" s="163">
        <v>3368</v>
      </c>
      <c r="AH281" s="163">
        <v>2116928000</v>
      </c>
      <c r="AI281" s="163">
        <v>2329063000</v>
      </c>
    </row>
    <row r="282" spans="1:35" x14ac:dyDescent="0.2">
      <c r="A282" t="s">
        <v>629</v>
      </c>
      <c r="B282" t="s">
        <v>569</v>
      </c>
      <c r="C282" s="163">
        <v>269697868.6665566</v>
      </c>
      <c r="D282" s="163">
        <v>140954363.6665566</v>
      </c>
      <c r="E282" s="163">
        <v>105849757</v>
      </c>
      <c r="F282" s="163">
        <v>30921611.756833401</v>
      </c>
      <c r="G282" s="163">
        <v>27166562.756833401</v>
      </c>
      <c r="H282" s="163">
        <v>3755049</v>
      </c>
      <c r="I282" s="163">
        <v>46781147.5573797</v>
      </c>
      <c r="J282" s="163">
        <v>19457721.636827398</v>
      </c>
      <c r="K282" s="163">
        <v>27323425.920552302</v>
      </c>
      <c r="L282" s="163">
        <v>28146997.231933702</v>
      </c>
      <c r="M282" s="163">
        <v>4506298</v>
      </c>
      <c r="N282" s="163">
        <v>397845</v>
      </c>
      <c r="O282" s="163">
        <v>1465289</v>
      </c>
      <c r="P282" s="163">
        <v>21777566</v>
      </c>
      <c r="Q282" s="163">
        <v>10893512</v>
      </c>
      <c r="R282" s="163">
        <v>12000236</v>
      </c>
      <c r="S282" s="163">
        <v>55672230</v>
      </c>
      <c r="T282" s="163">
        <v>25938</v>
      </c>
      <c r="U282" s="163">
        <v>4428000</v>
      </c>
      <c r="V282" s="163">
        <v>16351</v>
      </c>
      <c r="W282" s="163">
        <v>22184</v>
      </c>
      <c r="X282" s="163">
        <v>16522</v>
      </c>
      <c r="Y282" s="163">
        <v>385</v>
      </c>
      <c r="Z282" s="163">
        <v>852</v>
      </c>
      <c r="AA282" s="163">
        <v>936</v>
      </c>
      <c r="AB282" s="163">
        <v>10693</v>
      </c>
      <c r="AC282" s="163">
        <v>14430</v>
      </c>
      <c r="AD282" s="163">
        <v>2968</v>
      </c>
      <c r="AE282" s="163">
        <v>104</v>
      </c>
      <c r="AF282" s="163">
        <v>3664</v>
      </c>
      <c r="AG282" s="163">
        <v>1663</v>
      </c>
      <c r="AH282" s="163">
        <v>593870000</v>
      </c>
      <c r="AI282" s="163">
        <v>606432000</v>
      </c>
    </row>
    <row r="283" spans="1:35" x14ac:dyDescent="0.2">
      <c r="A283" t="s">
        <v>638</v>
      </c>
      <c r="B283" t="s">
        <v>502</v>
      </c>
      <c r="C283" s="163">
        <v>16575583.917897426</v>
      </c>
      <c r="D283" s="163">
        <v>8210291.9178974256</v>
      </c>
      <c r="E283" s="163">
        <v>7206654</v>
      </c>
      <c r="F283" s="163">
        <v>2522526.0774028101</v>
      </c>
      <c r="G283" s="163">
        <v>1763034.0774028101</v>
      </c>
      <c r="H283" s="163">
        <v>759492</v>
      </c>
      <c r="I283" s="163">
        <v>1676264.3248042299</v>
      </c>
      <c r="J283" s="163">
        <v>1676264.3248042299</v>
      </c>
      <c r="K283" s="163">
        <v>0</v>
      </c>
      <c r="L283" s="163">
        <v>2804052.90281842</v>
      </c>
      <c r="M283" s="163">
        <v>167601</v>
      </c>
      <c r="N283" s="163">
        <v>18147</v>
      </c>
      <c r="O283" s="163">
        <v>32398</v>
      </c>
      <c r="P283" s="163">
        <v>2585906</v>
      </c>
      <c r="Q283" s="163">
        <v>1072172</v>
      </c>
      <c r="R283" s="163">
        <v>86466</v>
      </c>
      <c r="S283" s="163">
        <v>1862578</v>
      </c>
      <c r="T283" s="163">
        <v>2697</v>
      </c>
      <c r="U283" s="163">
        <v>0</v>
      </c>
      <c r="V283" s="163">
        <v>1629</v>
      </c>
      <c r="W283" s="163">
        <v>458</v>
      </c>
      <c r="X283" s="163">
        <v>2</v>
      </c>
      <c r="Y283" s="163">
        <v>3</v>
      </c>
      <c r="Z283" s="163">
        <v>75</v>
      </c>
      <c r="AA283" s="163">
        <v>74</v>
      </c>
      <c r="AB283" s="163">
        <v>1308</v>
      </c>
      <c r="AC283" s="163">
        <v>887</v>
      </c>
      <c r="AD283" s="163">
        <v>170</v>
      </c>
      <c r="AE283" s="163">
        <v>40</v>
      </c>
      <c r="AF283" s="163">
        <v>70</v>
      </c>
      <c r="AG283" s="163">
        <v>11</v>
      </c>
      <c r="AH283" s="163">
        <v>23754000</v>
      </c>
      <c r="AI283" s="163">
        <v>23881000</v>
      </c>
    </row>
    <row r="284" spans="1:35" x14ac:dyDescent="0.2">
      <c r="A284" t="s">
        <v>629</v>
      </c>
      <c r="B284" t="s">
        <v>524</v>
      </c>
      <c r="C284" s="163">
        <v>16022559.263991756</v>
      </c>
      <c r="D284" s="163">
        <v>10107472.263991756</v>
      </c>
      <c r="E284" s="163">
        <v>4929691</v>
      </c>
      <c r="F284" s="163">
        <v>1872169.4083833401</v>
      </c>
      <c r="G284" s="163">
        <v>1659081.4083833401</v>
      </c>
      <c r="H284" s="163">
        <v>213088</v>
      </c>
      <c r="I284" s="163">
        <v>1594518.1115343</v>
      </c>
      <c r="J284" s="163">
        <v>1594518.1115343</v>
      </c>
      <c r="K284" s="163">
        <v>0</v>
      </c>
      <c r="L284" s="163">
        <v>1463003.9272024301</v>
      </c>
      <c r="M284" s="163">
        <v>29431</v>
      </c>
      <c r="N284" s="163">
        <v>15355</v>
      </c>
      <c r="O284" s="163">
        <v>38289</v>
      </c>
      <c r="P284" s="163">
        <v>1379929</v>
      </c>
      <c r="Q284" s="163">
        <v>879901</v>
      </c>
      <c r="R284" s="163">
        <v>105495</v>
      </c>
      <c r="S284" s="163">
        <v>1059604</v>
      </c>
      <c r="T284" s="163">
        <v>3508</v>
      </c>
      <c r="U284" s="163">
        <v>0</v>
      </c>
      <c r="V284" s="163">
        <v>1418</v>
      </c>
      <c r="W284" s="163">
        <v>1401</v>
      </c>
      <c r="X284" s="163">
        <v>0</v>
      </c>
      <c r="Y284" s="163">
        <v>0</v>
      </c>
      <c r="Z284" s="163">
        <v>183</v>
      </c>
      <c r="AA284" s="163">
        <v>8</v>
      </c>
      <c r="AB284" s="163">
        <v>777</v>
      </c>
      <c r="AC284" s="163">
        <v>741</v>
      </c>
      <c r="AD284" s="163">
        <v>212</v>
      </c>
      <c r="AE284" s="163">
        <v>85</v>
      </c>
      <c r="AF284" s="163">
        <v>385</v>
      </c>
      <c r="AG284" s="163">
        <v>12</v>
      </c>
      <c r="AH284" s="163">
        <v>24937000</v>
      </c>
      <c r="AI284" s="163">
        <v>25208000</v>
      </c>
    </row>
    <row r="285" spans="1:35" x14ac:dyDescent="0.2">
      <c r="A285" t="s">
        <v>629</v>
      </c>
      <c r="B285" t="s">
        <v>462</v>
      </c>
      <c r="C285" s="163">
        <v>35084458.754734591</v>
      </c>
      <c r="D285" s="163">
        <v>20192215.754734591</v>
      </c>
      <c r="E285" s="163">
        <v>12643215</v>
      </c>
      <c r="F285" s="163">
        <v>4501023.9297170499</v>
      </c>
      <c r="G285" s="163">
        <v>4010540.9297170499</v>
      </c>
      <c r="H285" s="163">
        <v>490483</v>
      </c>
      <c r="I285" s="163">
        <v>3496147.88992514</v>
      </c>
      <c r="J285" s="163">
        <v>3496147.88992514</v>
      </c>
      <c r="K285" s="163">
        <v>0</v>
      </c>
      <c r="L285" s="163">
        <v>4646043.2297140099</v>
      </c>
      <c r="M285" s="163">
        <v>69479</v>
      </c>
      <c r="N285" s="163">
        <v>40482</v>
      </c>
      <c r="O285" s="163">
        <v>135484</v>
      </c>
      <c r="P285" s="163">
        <v>4400598</v>
      </c>
      <c r="Q285" s="163">
        <v>2036561</v>
      </c>
      <c r="R285" s="163">
        <v>212467</v>
      </c>
      <c r="S285" s="163">
        <v>3481340</v>
      </c>
      <c r="T285" s="163">
        <v>2396</v>
      </c>
      <c r="U285" s="163">
        <v>88000</v>
      </c>
      <c r="V285" s="163">
        <v>4851</v>
      </c>
      <c r="W285" s="163">
        <v>1194</v>
      </c>
      <c r="X285" s="163">
        <v>0</v>
      </c>
      <c r="Y285" s="163">
        <v>0</v>
      </c>
      <c r="Z285" s="163">
        <v>92</v>
      </c>
      <c r="AA285" s="163">
        <v>147</v>
      </c>
      <c r="AB285" s="163">
        <v>1817</v>
      </c>
      <c r="AC285" s="163">
        <v>1615</v>
      </c>
      <c r="AD285" s="163">
        <v>540</v>
      </c>
      <c r="AE285" s="163">
        <v>3</v>
      </c>
      <c r="AF285" s="163">
        <v>470</v>
      </c>
      <c r="AG285" s="163">
        <v>126</v>
      </c>
      <c r="AH285" s="163">
        <v>65536000</v>
      </c>
      <c r="AI285" s="163">
        <v>65211000</v>
      </c>
    </row>
    <row r="286" spans="1:35" x14ac:dyDescent="0.2">
      <c r="A286" t="s">
        <v>638</v>
      </c>
      <c r="B286" t="s">
        <v>503</v>
      </c>
      <c r="C286" s="163">
        <v>155779243.52515891</v>
      </c>
      <c r="D286" s="163">
        <v>87973393.525158912</v>
      </c>
      <c r="E286" s="163">
        <v>55924766</v>
      </c>
      <c r="F286" s="163">
        <v>21016159.4470696</v>
      </c>
      <c r="G286" s="163">
        <v>19674121.4470696</v>
      </c>
      <c r="H286" s="163">
        <v>1342038</v>
      </c>
      <c r="I286" s="163">
        <v>16475395.5703544</v>
      </c>
      <c r="J286" s="163">
        <v>16475395.5703544</v>
      </c>
      <c r="K286" s="163">
        <v>0</v>
      </c>
      <c r="L286" s="163">
        <v>18433211.198213</v>
      </c>
      <c r="M286" s="163">
        <v>3975927</v>
      </c>
      <c r="N286" s="163">
        <v>315484</v>
      </c>
      <c r="O286" s="163">
        <v>453577</v>
      </c>
      <c r="P286" s="163">
        <v>13688223</v>
      </c>
      <c r="Q286" s="163">
        <v>9656307</v>
      </c>
      <c r="R286" s="163">
        <v>2224777</v>
      </c>
      <c r="S286" s="163">
        <v>39404196</v>
      </c>
      <c r="T286" s="163">
        <v>9823</v>
      </c>
      <c r="U286" s="163">
        <v>1586000</v>
      </c>
      <c r="V286" s="163">
        <v>14011</v>
      </c>
      <c r="W286" s="163">
        <v>28627</v>
      </c>
      <c r="X286" s="163">
        <v>5215</v>
      </c>
      <c r="Y286" s="163">
        <v>54</v>
      </c>
      <c r="Z286" s="163">
        <v>183</v>
      </c>
      <c r="AA286" s="163">
        <v>1054</v>
      </c>
      <c r="AB286" s="163">
        <v>8709</v>
      </c>
      <c r="AC286" s="163">
        <v>11322</v>
      </c>
      <c r="AD286" s="163">
        <v>2093</v>
      </c>
      <c r="AE286" s="163">
        <v>344</v>
      </c>
      <c r="AF286" s="163">
        <v>1953</v>
      </c>
      <c r="AG286" s="163">
        <v>607</v>
      </c>
      <c r="AH286" s="163">
        <v>291612000</v>
      </c>
      <c r="AI286" s="163">
        <v>297260000</v>
      </c>
    </row>
    <row r="287" spans="1:35" x14ac:dyDescent="0.2">
      <c r="A287" t="s">
        <v>633</v>
      </c>
      <c r="B287" t="s">
        <v>389</v>
      </c>
      <c r="C287" s="163">
        <v>36432519.731147543</v>
      </c>
      <c r="D287" s="163">
        <v>21326173.731147543</v>
      </c>
      <c r="E287" s="163">
        <v>12564762</v>
      </c>
      <c r="F287" s="163">
        <v>5920715.3447505599</v>
      </c>
      <c r="G287" s="163">
        <v>5309986.3447505599</v>
      </c>
      <c r="H287" s="163">
        <v>610729</v>
      </c>
      <c r="I287" s="163">
        <v>3800894.48290881</v>
      </c>
      <c r="J287" s="163">
        <v>3800894.48290881</v>
      </c>
      <c r="K287" s="163">
        <v>0</v>
      </c>
      <c r="L287" s="163">
        <v>2843152.6165870698</v>
      </c>
      <c r="M287" s="163">
        <v>467107</v>
      </c>
      <c r="N287" s="163">
        <v>34899</v>
      </c>
      <c r="O287" s="163">
        <v>83941</v>
      </c>
      <c r="P287" s="163">
        <v>2257206</v>
      </c>
      <c r="Q287" s="163">
        <v>2314645</v>
      </c>
      <c r="R287" s="163">
        <v>226939</v>
      </c>
      <c r="S287" s="163">
        <v>6343142</v>
      </c>
      <c r="T287" s="163">
        <v>1074</v>
      </c>
      <c r="U287" s="163">
        <v>390000</v>
      </c>
      <c r="V287" s="163">
        <v>1972</v>
      </c>
      <c r="W287" s="163">
        <v>1732</v>
      </c>
      <c r="X287" s="163">
        <v>0</v>
      </c>
      <c r="Y287" s="163">
        <v>786</v>
      </c>
      <c r="Z287" s="163">
        <v>0</v>
      </c>
      <c r="AA287" s="163">
        <v>129</v>
      </c>
      <c r="AB287" s="163">
        <v>2639</v>
      </c>
      <c r="AC287" s="163">
        <v>2177</v>
      </c>
      <c r="AD287" s="163">
        <v>637</v>
      </c>
      <c r="AE287" s="163">
        <v>278</v>
      </c>
      <c r="AF287" s="163">
        <v>448</v>
      </c>
      <c r="AG287" s="163">
        <v>112</v>
      </c>
      <c r="AH287" s="163">
        <v>55527000</v>
      </c>
      <c r="AI287" s="163">
        <v>55579000</v>
      </c>
    </row>
    <row r="288" spans="1:35" x14ac:dyDescent="0.2">
      <c r="A288" t="s">
        <v>640</v>
      </c>
      <c r="B288" t="s">
        <v>411</v>
      </c>
      <c r="C288" s="163">
        <v>34771361.864833876</v>
      </c>
      <c r="D288" s="163">
        <v>22925455.864833876</v>
      </c>
      <c r="E288" s="163">
        <v>9172784</v>
      </c>
      <c r="F288" s="163">
        <v>3624763.59217017</v>
      </c>
      <c r="G288" s="163">
        <v>2380059.59217017</v>
      </c>
      <c r="H288" s="163">
        <v>1244704</v>
      </c>
      <c r="I288" s="163">
        <v>1981278.98946673</v>
      </c>
      <c r="J288" s="163">
        <v>1981278.98946673</v>
      </c>
      <c r="K288" s="163">
        <v>0</v>
      </c>
      <c r="L288" s="163">
        <v>1671469.17543115</v>
      </c>
      <c r="M288" s="163">
        <v>255765</v>
      </c>
      <c r="N288" s="163">
        <v>32107</v>
      </c>
      <c r="O288" s="163">
        <v>48598</v>
      </c>
      <c r="P288" s="163">
        <v>1334999</v>
      </c>
      <c r="Q288" s="163">
        <v>2220949</v>
      </c>
      <c r="R288" s="163">
        <v>452173</v>
      </c>
      <c r="S288" s="163">
        <v>4428873</v>
      </c>
      <c r="T288" s="163">
        <v>3017</v>
      </c>
      <c r="U288" s="163">
        <v>62000</v>
      </c>
      <c r="V288" s="163">
        <v>3676</v>
      </c>
      <c r="W288" s="163">
        <v>2324</v>
      </c>
      <c r="X288" s="163">
        <v>1992</v>
      </c>
      <c r="Y288" s="163">
        <v>220</v>
      </c>
      <c r="Z288" s="163">
        <v>3877</v>
      </c>
      <c r="AA288" s="163">
        <v>1714</v>
      </c>
      <c r="AB288" s="163">
        <v>4265</v>
      </c>
      <c r="AC288" s="163">
        <v>3205</v>
      </c>
      <c r="AD288" s="163">
        <v>626</v>
      </c>
      <c r="AE288" s="163">
        <v>323</v>
      </c>
      <c r="AF288" s="163">
        <v>907</v>
      </c>
      <c r="AG288" s="163">
        <v>72</v>
      </c>
      <c r="AH288" s="163">
        <v>65533000</v>
      </c>
      <c r="AI288" s="163">
        <v>66283000</v>
      </c>
    </row>
    <row r="289" spans="1:35" x14ac:dyDescent="0.2">
      <c r="A289" t="s">
        <v>632</v>
      </c>
      <c r="B289" t="s">
        <v>194</v>
      </c>
      <c r="C289" s="163">
        <v>100544122.06954011</v>
      </c>
      <c r="D289" s="163">
        <v>55232951.069540113</v>
      </c>
      <c r="E289" s="163">
        <v>39531955</v>
      </c>
      <c r="F289" s="163">
        <v>3281488.4909432302</v>
      </c>
      <c r="G289" s="163">
        <v>2753002.4909432302</v>
      </c>
      <c r="H289" s="163">
        <v>528486</v>
      </c>
      <c r="I289" s="163">
        <v>3306037.4334396902</v>
      </c>
      <c r="J289" s="163">
        <v>3306037.4334396902</v>
      </c>
      <c r="K289" s="163">
        <v>0</v>
      </c>
      <c r="L289" s="163">
        <v>2585258.0661200401</v>
      </c>
      <c r="M289" s="163">
        <v>274431</v>
      </c>
      <c r="N289" s="163">
        <v>16751</v>
      </c>
      <c r="O289" s="163">
        <v>98668</v>
      </c>
      <c r="P289" s="163">
        <v>2195408</v>
      </c>
      <c r="Q289" s="163">
        <v>5046381</v>
      </c>
      <c r="R289" s="163">
        <v>732835</v>
      </c>
      <c r="S289" s="163">
        <v>26018231</v>
      </c>
      <c r="T289" s="163">
        <v>5016</v>
      </c>
      <c r="U289" s="163">
        <v>543000</v>
      </c>
      <c r="V289" s="163">
        <v>6183</v>
      </c>
      <c r="W289" s="163">
        <v>6579</v>
      </c>
      <c r="X289" s="163">
        <v>2300</v>
      </c>
      <c r="Y289" s="163">
        <v>0</v>
      </c>
      <c r="Z289" s="163">
        <v>0</v>
      </c>
      <c r="AA289" s="163">
        <v>377</v>
      </c>
      <c r="AB289" s="163">
        <v>7386</v>
      </c>
      <c r="AC289" s="163">
        <v>5562</v>
      </c>
      <c r="AD289" s="163">
        <v>968</v>
      </c>
      <c r="AE289" s="163">
        <v>393</v>
      </c>
      <c r="AF289" s="163">
        <v>1002</v>
      </c>
      <c r="AG289" s="163">
        <v>251</v>
      </c>
      <c r="AH289" s="163">
        <v>162590000</v>
      </c>
      <c r="AI289" s="163">
        <v>180517000</v>
      </c>
    </row>
    <row r="290" spans="1:35" x14ac:dyDescent="0.2">
      <c r="A290" t="s">
        <v>636</v>
      </c>
      <c r="B290" t="s">
        <v>291</v>
      </c>
      <c r="C290" s="163">
        <v>56296437.170421451</v>
      </c>
      <c r="D290" s="163">
        <v>35707157.170421451</v>
      </c>
      <c r="E290" s="163">
        <v>16904149</v>
      </c>
      <c r="F290" s="163">
        <v>17476939.998464402</v>
      </c>
      <c r="G290" s="163">
        <v>13106311.998464402</v>
      </c>
      <c r="H290" s="163">
        <v>4370628</v>
      </c>
      <c r="I290" s="163">
        <v>8552388.3210838493</v>
      </c>
      <c r="J290" s="163">
        <v>8552388.3210838493</v>
      </c>
      <c r="K290" s="163">
        <v>0</v>
      </c>
      <c r="L290" s="163">
        <v>13502626.7436953</v>
      </c>
      <c r="M290" s="163">
        <v>2772105</v>
      </c>
      <c r="N290" s="163">
        <v>170306</v>
      </c>
      <c r="O290" s="163">
        <v>321038</v>
      </c>
      <c r="P290" s="163">
        <v>10239178</v>
      </c>
      <c r="Q290" s="163">
        <v>3281877</v>
      </c>
      <c r="R290" s="163">
        <v>403254</v>
      </c>
      <c r="S290" s="163">
        <v>10428583</v>
      </c>
      <c r="T290" s="163">
        <v>8352</v>
      </c>
      <c r="U290" s="163">
        <v>594000</v>
      </c>
      <c r="V290" s="163">
        <v>5004</v>
      </c>
      <c r="W290" s="163">
        <v>3199</v>
      </c>
      <c r="X290" s="163">
        <v>0</v>
      </c>
      <c r="Y290" s="163">
        <v>0</v>
      </c>
      <c r="Z290" s="163">
        <v>0</v>
      </c>
      <c r="AA290" s="163">
        <v>268</v>
      </c>
      <c r="AB290" s="163">
        <v>4135</v>
      </c>
      <c r="AC290" s="163">
        <v>3824</v>
      </c>
      <c r="AD290" s="163">
        <v>823</v>
      </c>
      <c r="AE290" s="163">
        <v>534</v>
      </c>
      <c r="AF290" s="163">
        <v>1049</v>
      </c>
      <c r="AG290" s="163">
        <v>112</v>
      </c>
      <c r="AH290" s="163">
        <v>106505000</v>
      </c>
      <c r="AI290" s="163">
        <v>107039000</v>
      </c>
    </row>
    <row r="291" spans="1:35" x14ac:dyDescent="0.2">
      <c r="A291" t="s">
        <v>629</v>
      </c>
      <c r="B291" t="s">
        <v>464</v>
      </c>
      <c r="C291" s="163">
        <v>23137760.634380165</v>
      </c>
      <c r="D291" s="163">
        <v>14684799.634380165</v>
      </c>
      <c r="E291" s="163">
        <v>6958258</v>
      </c>
      <c r="F291" s="163">
        <v>8024513.5665547596</v>
      </c>
      <c r="G291" s="163">
        <v>6938666.5665547596</v>
      </c>
      <c r="H291" s="163">
        <v>1085847</v>
      </c>
      <c r="I291" s="163">
        <v>5272989.0434165196</v>
      </c>
      <c r="J291" s="163">
        <v>5272989.0434165196</v>
      </c>
      <c r="K291" s="163">
        <v>0</v>
      </c>
      <c r="L291" s="163">
        <v>3606645.9653050201</v>
      </c>
      <c r="M291" s="163">
        <v>615796</v>
      </c>
      <c r="N291" s="163">
        <v>43274</v>
      </c>
      <c r="O291" s="163">
        <v>82469</v>
      </c>
      <c r="P291" s="163">
        <v>2865107</v>
      </c>
      <c r="Q291" s="163">
        <v>1315813</v>
      </c>
      <c r="R291" s="163">
        <v>178890</v>
      </c>
      <c r="S291" s="163">
        <v>2964947</v>
      </c>
      <c r="T291" s="163">
        <v>17417</v>
      </c>
      <c r="U291" s="163">
        <v>97000</v>
      </c>
      <c r="V291" s="163">
        <v>2462</v>
      </c>
      <c r="W291" s="163">
        <v>1548</v>
      </c>
      <c r="X291" s="163">
        <v>0</v>
      </c>
      <c r="Y291" s="163">
        <v>0</v>
      </c>
      <c r="Z291" s="163">
        <v>145</v>
      </c>
      <c r="AA291" s="163">
        <v>72</v>
      </c>
      <c r="AB291" s="163">
        <v>1501</v>
      </c>
      <c r="AC291" s="163">
        <v>1265</v>
      </c>
      <c r="AD291" s="163">
        <v>292</v>
      </c>
      <c r="AE291" s="163">
        <v>0</v>
      </c>
      <c r="AF291" s="163">
        <v>630</v>
      </c>
      <c r="AG291" s="163">
        <v>38</v>
      </c>
      <c r="AH291" s="163">
        <v>49677000</v>
      </c>
      <c r="AI291" s="163">
        <v>51448000</v>
      </c>
    </row>
    <row r="292" spans="1:35" x14ac:dyDescent="0.2">
      <c r="A292" t="s">
        <v>629</v>
      </c>
      <c r="B292" t="s">
        <v>465</v>
      </c>
      <c r="C292" s="163">
        <v>17664197.078670349</v>
      </c>
      <c r="D292" s="163">
        <v>11149047.078670349</v>
      </c>
      <c r="E292" s="163">
        <v>5170646</v>
      </c>
      <c r="F292" s="163">
        <v>2679429.3033720599</v>
      </c>
      <c r="G292" s="163">
        <v>2241731.3033720599</v>
      </c>
      <c r="H292" s="163">
        <v>437698</v>
      </c>
      <c r="I292" s="163">
        <v>2289712.9499745099</v>
      </c>
      <c r="J292" s="163">
        <v>2289712.9499745099</v>
      </c>
      <c r="K292" s="163">
        <v>0</v>
      </c>
      <c r="L292" s="163">
        <v>1989115.6290964701</v>
      </c>
      <c r="M292" s="163">
        <v>93643</v>
      </c>
      <c r="N292" s="163">
        <v>20939</v>
      </c>
      <c r="O292" s="163">
        <v>47125</v>
      </c>
      <c r="P292" s="163">
        <v>1827409</v>
      </c>
      <c r="Q292" s="163">
        <v>1216524</v>
      </c>
      <c r="R292" s="163">
        <v>127980</v>
      </c>
      <c r="S292" s="163">
        <v>2726241</v>
      </c>
      <c r="T292" s="163">
        <v>15591</v>
      </c>
      <c r="U292" s="163">
        <v>59000</v>
      </c>
      <c r="V292" s="163">
        <v>1928</v>
      </c>
      <c r="W292" s="163">
        <v>1842</v>
      </c>
      <c r="X292" s="163">
        <v>0</v>
      </c>
      <c r="Y292" s="163">
        <v>9</v>
      </c>
      <c r="Z292" s="163">
        <v>0</v>
      </c>
      <c r="AA292" s="163">
        <v>0</v>
      </c>
      <c r="AB292" s="163">
        <v>1156</v>
      </c>
      <c r="AC292" s="163">
        <v>1273</v>
      </c>
      <c r="AD292" s="163">
        <v>179</v>
      </c>
      <c r="AE292" s="163">
        <v>0</v>
      </c>
      <c r="AF292" s="163">
        <v>648</v>
      </c>
      <c r="AG292" s="163">
        <v>56</v>
      </c>
      <c r="AH292" s="163">
        <v>33306000</v>
      </c>
      <c r="AI292" s="163">
        <v>35527000</v>
      </c>
    </row>
    <row r="293" spans="1:35" x14ac:dyDescent="0.2">
      <c r="A293" t="s">
        <v>637</v>
      </c>
      <c r="B293" t="s">
        <v>173</v>
      </c>
      <c r="C293" s="163">
        <v>73427530.980953664</v>
      </c>
      <c r="D293" s="163">
        <v>32356371.980953664</v>
      </c>
      <c r="E293" s="163">
        <v>36539300</v>
      </c>
      <c r="F293" s="163">
        <v>2320331.2875951598</v>
      </c>
      <c r="G293" s="163">
        <v>1949393.2875951598</v>
      </c>
      <c r="H293" s="163">
        <v>370938</v>
      </c>
      <c r="I293" s="163">
        <v>1872920.6242718201</v>
      </c>
      <c r="J293" s="163">
        <v>1872920.6242718201</v>
      </c>
      <c r="K293" s="163">
        <v>0</v>
      </c>
      <c r="L293" s="163">
        <v>977393.92961443099</v>
      </c>
      <c r="M293" s="163">
        <v>102795</v>
      </c>
      <c r="N293" s="163">
        <v>12564</v>
      </c>
      <c r="O293" s="163">
        <v>39762</v>
      </c>
      <c r="P293" s="163">
        <v>822274</v>
      </c>
      <c r="Q293" s="163">
        <v>4024543</v>
      </c>
      <c r="R293" s="163">
        <v>507316</v>
      </c>
      <c r="S293" s="163">
        <v>13180192</v>
      </c>
      <c r="T293" s="163">
        <v>16785</v>
      </c>
      <c r="U293" s="163">
        <v>449000</v>
      </c>
      <c r="V293" s="163">
        <v>3970</v>
      </c>
      <c r="W293" s="163">
        <v>2424</v>
      </c>
      <c r="X293" s="163">
        <v>1</v>
      </c>
      <c r="Y293" s="163">
        <v>0</v>
      </c>
      <c r="Z293" s="163">
        <v>99</v>
      </c>
      <c r="AA293" s="163">
        <v>59</v>
      </c>
      <c r="AB293" s="163">
        <v>2986</v>
      </c>
      <c r="AC293" s="163">
        <v>2667</v>
      </c>
      <c r="AD293" s="163">
        <v>507</v>
      </c>
      <c r="AE293" s="163">
        <v>179</v>
      </c>
      <c r="AF293" s="163">
        <v>250</v>
      </c>
      <c r="AG293" s="163">
        <v>92</v>
      </c>
      <c r="AH293" s="163">
        <v>102561000</v>
      </c>
      <c r="AI293" s="163">
        <v>104111000</v>
      </c>
    </row>
    <row r="294" spans="1:35" x14ac:dyDescent="0.2">
      <c r="A294" t="s">
        <v>634</v>
      </c>
      <c r="B294" t="s">
        <v>216</v>
      </c>
      <c r="C294" s="163">
        <v>19835510.202775083</v>
      </c>
      <c r="D294" s="163">
        <v>13178235.202775083</v>
      </c>
      <c r="E294" s="163">
        <v>5676820</v>
      </c>
      <c r="F294" s="163">
        <v>2723183.5533483098</v>
      </c>
      <c r="G294" s="163">
        <v>2406576.5533483098</v>
      </c>
      <c r="H294" s="163">
        <v>316607</v>
      </c>
      <c r="I294" s="163">
        <v>1631772.75870447</v>
      </c>
      <c r="J294" s="163">
        <v>1631772.75870447</v>
      </c>
      <c r="K294" s="163">
        <v>0</v>
      </c>
      <c r="L294" s="163">
        <v>1321863.5506776101</v>
      </c>
      <c r="M294" s="163">
        <v>57838</v>
      </c>
      <c r="N294" s="163">
        <v>30711</v>
      </c>
      <c r="O294" s="163">
        <v>44180</v>
      </c>
      <c r="P294" s="163">
        <v>1189135</v>
      </c>
      <c r="Q294" s="163">
        <v>818985</v>
      </c>
      <c r="R294" s="163">
        <v>161470</v>
      </c>
      <c r="S294" s="163">
        <v>1826061</v>
      </c>
      <c r="T294" s="163">
        <v>2646</v>
      </c>
      <c r="U294" s="163">
        <v>290000</v>
      </c>
      <c r="V294" s="163">
        <v>1454</v>
      </c>
      <c r="W294" s="163">
        <v>1297</v>
      </c>
      <c r="X294" s="163">
        <v>0</v>
      </c>
      <c r="Y294" s="163">
        <v>0</v>
      </c>
      <c r="Z294" s="163">
        <v>48</v>
      </c>
      <c r="AA294" s="163">
        <v>113</v>
      </c>
      <c r="AB294" s="163">
        <v>1618</v>
      </c>
      <c r="AC294" s="163">
        <v>955</v>
      </c>
      <c r="AD294" s="163">
        <v>292</v>
      </c>
      <c r="AE294" s="163">
        <v>275</v>
      </c>
      <c r="AF294" s="163">
        <v>680</v>
      </c>
      <c r="AG294" s="163">
        <v>67</v>
      </c>
      <c r="AH294" s="163">
        <v>32475000</v>
      </c>
      <c r="AI294" s="163">
        <v>32802000</v>
      </c>
    </row>
    <row r="295" spans="1:35" x14ac:dyDescent="0.2">
      <c r="A295" t="s">
        <v>630</v>
      </c>
      <c r="B295" t="s">
        <v>335</v>
      </c>
      <c r="C295" s="163">
        <v>29371559.594618924</v>
      </c>
      <c r="D295" s="163">
        <v>17922694.594618924</v>
      </c>
      <c r="E295" s="163">
        <v>9786038</v>
      </c>
      <c r="F295" s="163">
        <v>4815522.8193404302</v>
      </c>
      <c r="G295" s="163">
        <v>4157232.8193404302</v>
      </c>
      <c r="H295" s="163">
        <v>658290</v>
      </c>
      <c r="I295" s="163">
        <v>2692079.1781395702</v>
      </c>
      <c r="J295" s="163">
        <v>2692079.1781395702</v>
      </c>
      <c r="K295" s="163">
        <v>0</v>
      </c>
      <c r="L295" s="163">
        <v>2278435.6698560002</v>
      </c>
      <c r="M295" s="163">
        <v>250105</v>
      </c>
      <c r="N295" s="163">
        <v>57234</v>
      </c>
      <c r="O295" s="163">
        <v>94250</v>
      </c>
      <c r="P295" s="163">
        <v>1876847</v>
      </c>
      <c r="Q295" s="163">
        <v>1442605</v>
      </c>
      <c r="R295" s="163">
        <v>220222</v>
      </c>
      <c r="S295" s="163">
        <v>3699060</v>
      </c>
      <c r="T295" s="163">
        <v>1694</v>
      </c>
      <c r="U295" s="163">
        <v>158000</v>
      </c>
      <c r="V295" s="163">
        <v>2207</v>
      </c>
      <c r="W295" s="163">
        <v>572</v>
      </c>
      <c r="X295" s="163">
        <v>0</v>
      </c>
      <c r="Y295" s="163">
        <v>0</v>
      </c>
      <c r="Z295" s="163">
        <v>0</v>
      </c>
      <c r="AA295" s="163">
        <v>103</v>
      </c>
      <c r="AB295" s="163">
        <v>1539</v>
      </c>
      <c r="AC295" s="163">
        <v>3001</v>
      </c>
      <c r="AD295" s="163">
        <v>324</v>
      </c>
      <c r="AE295" s="163">
        <v>7</v>
      </c>
      <c r="AF295" s="163">
        <v>197</v>
      </c>
      <c r="AG295" s="163">
        <v>41</v>
      </c>
      <c r="AH295" s="163">
        <v>42737000</v>
      </c>
      <c r="AI295" s="163">
        <v>44243000</v>
      </c>
    </row>
    <row r="296" spans="1:35" x14ac:dyDescent="0.2">
      <c r="A296" t="s">
        <v>629</v>
      </c>
      <c r="B296" t="s">
        <v>466</v>
      </c>
      <c r="C296" s="163">
        <v>32719414.09137718</v>
      </c>
      <c r="D296" s="163">
        <v>19838707.09137718</v>
      </c>
      <c r="E296" s="163">
        <v>10702560</v>
      </c>
      <c r="F296" s="163">
        <v>4322965.9117141804</v>
      </c>
      <c r="G296" s="163">
        <v>3334934.9117141804</v>
      </c>
      <c r="H296" s="163">
        <v>988031</v>
      </c>
      <c r="I296" s="163">
        <v>3322243.51676596</v>
      </c>
      <c r="J296" s="163">
        <v>3322243.51676596</v>
      </c>
      <c r="K296" s="163">
        <v>0</v>
      </c>
      <c r="L296" s="163">
        <v>3057350.8769032699</v>
      </c>
      <c r="M296" s="163">
        <v>332613</v>
      </c>
      <c r="N296" s="163">
        <v>36295</v>
      </c>
      <c r="O296" s="163">
        <v>76578</v>
      </c>
      <c r="P296" s="163">
        <v>2611866</v>
      </c>
      <c r="Q296" s="163">
        <v>1961851</v>
      </c>
      <c r="R296" s="163">
        <v>216296</v>
      </c>
      <c r="S296" s="163">
        <v>4478830</v>
      </c>
      <c r="T296" s="163">
        <v>4184</v>
      </c>
      <c r="U296" s="163">
        <v>70000</v>
      </c>
      <c r="V296" s="163">
        <v>2723</v>
      </c>
      <c r="W296" s="163">
        <v>1660</v>
      </c>
      <c r="X296" s="163">
        <v>0</v>
      </c>
      <c r="Y296" s="163">
        <v>0</v>
      </c>
      <c r="Z296" s="163">
        <v>80</v>
      </c>
      <c r="AA296" s="163">
        <v>166</v>
      </c>
      <c r="AB296" s="163">
        <v>1599</v>
      </c>
      <c r="AC296" s="163">
        <v>2957</v>
      </c>
      <c r="AD296" s="163">
        <v>427</v>
      </c>
      <c r="AE296" s="163">
        <v>59</v>
      </c>
      <c r="AF296" s="163">
        <v>724</v>
      </c>
      <c r="AG296" s="163">
        <v>64</v>
      </c>
      <c r="AH296" s="163">
        <v>53295000</v>
      </c>
      <c r="AI296" s="163">
        <v>52746000</v>
      </c>
    </row>
    <row r="297" spans="1:35" x14ac:dyDescent="0.2">
      <c r="A297" t="s">
        <v>634</v>
      </c>
      <c r="B297" t="s">
        <v>217</v>
      </c>
      <c r="C297" s="163">
        <v>68513916.636151105</v>
      </c>
      <c r="D297" s="163">
        <v>40380252.636151105</v>
      </c>
      <c r="E297" s="163">
        <v>23997228</v>
      </c>
      <c r="F297" s="163">
        <v>9701454.7793898303</v>
      </c>
      <c r="G297" s="163">
        <v>8187842.7793898303</v>
      </c>
      <c r="H297" s="163">
        <v>1513612</v>
      </c>
      <c r="I297" s="163">
        <v>6218790.4557494102</v>
      </c>
      <c r="J297" s="163">
        <v>6218790.4557494102</v>
      </c>
      <c r="K297" s="163">
        <v>0</v>
      </c>
      <c r="L297" s="163">
        <v>8076983.1591383703</v>
      </c>
      <c r="M297" s="163">
        <v>1071669</v>
      </c>
      <c r="N297" s="163">
        <v>78173</v>
      </c>
      <c r="O297" s="163">
        <v>169355</v>
      </c>
      <c r="P297" s="163">
        <v>6757786</v>
      </c>
      <c r="Q297" s="163">
        <v>3695634</v>
      </c>
      <c r="R297" s="163">
        <v>440802</v>
      </c>
      <c r="S297" s="163">
        <v>13353931</v>
      </c>
      <c r="T297" s="163">
        <v>18628</v>
      </c>
      <c r="U297" s="163">
        <v>167000</v>
      </c>
      <c r="V297" s="163">
        <v>4185</v>
      </c>
      <c r="W297" s="163">
        <v>2816</v>
      </c>
      <c r="X297" s="163">
        <v>10</v>
      </c>
      <c r="Y297" s="163">
        <v>0</v>
      </c>
      <c r="Z297" s="163">
        <v>472</v>
      </c>
      <c r="AA297" s="163">
        <v>1026</v>
      </c>
      <c r="AB297" s="163">
        <v>4978</v>
      </c>
      <c r="AC297" s="163">
        <v>3177</v>
      </c>
      <c r="AD297" s="163">
        <v>600</v>
      </c>
      <c r="AE297" s="163">
        <v>445</v>
      </c>
      <c r="AF297" s="163">
        <v>1274</v>
      </c>
      <c r="AG297" s="163">
        <v>104</v>
      </c>
      <c r="AH297" s="163">
        <v>111179000</v>
      </c>
      <c r="AI297" s="163">
        <v>109287000</v>
      </c>
    </row>
    <row r="298" spans="1:35" x14ac:dyDescent="0.2">
      <c r="A298" t="s">
        <v>638</v>
      </c>
      <c r="B298" t="s">
        <v>504</v>
      </c>
      <c r="C298" s="163">
        <v>34212676.634502605</v>
      </c>
      <c r="D298" s="163">
        <v>19572611.634502605</v>
      </c>
      <c r="E298" s="163">
        <v>12072043</v>
      </c>
      <c r="F298" s="163">
        <v>4689836.3749182904</v>
      </c>
      <c r="G298" s="163">
        <v>4137546.3749182904</v>
      </c>
      <c r="H298" s="163">
        <v>552290</v>
      </c>
      <c r="I298" s="163">
        <v>3854537.8012134498</v>
      </c>
      <c r="J298" s="163">
        <v>3854537.8012134498</v>
      </c>
      <c r="K298" s="163">
        <v>0</v>
      </c>
      <c r="L298" s="163">
        <v>3527668.8427180001</v>
      </c>
      <c r="M298" s="163">
        <v>265682</v>
      </c>
      <c r="N298" s="163">
        <v>47462</v>
      </c>
      <c r="O298" s="163">
        <v>73633</v>
      </c>
      <c r="P298" s="163">
        <v>3140892</v>
      </c>
      <c r="Q298" s="163">
        <v>2384686</v>
      </c>
      <c r="R298" s="163">
        <v>183336</v>
      </c>
      <c r="S298" s="163">
        <v>4557617</v>
      </c>
      <c r="T298" s="163">
        <v>1066</v>
      </c>
      <c r="U298" s="163">
        <v>79000</v>
      </c>
      <c r="V298" s="163">
        <v>3508</v>
      </c>
      <c r="W298" s="163">
        <v>1787</v>
      </c>
      <c r="X298" s="163">
        <v>4</v>
      </c>
      <c r="Y298" s="163">
        <v>0</v>
      </c>
      <c r="Z298" s="163">
        <v>105</v>
      </c>
      <c r="AA298" s="163">
        <v>215</v>
      </c>
      <c r="AB298" s="163">
        <v>2860</v>
      </c>
      <c r="AC298" s="163">
        <v>2384</v>
      </c>
      <c r="AD298" s="163">
        <v>276</v>
      </c>
      <c r="AE298" s="163">
        <v>84</v>
      </c>
      <c r="AF298" s="163">
        <v>287</v>
      </c>
      <c r="AG298" s="163">
        <v>28</v>
      </c>
      <c r="AH298" s="163">
        <v>55153000</v>
      </c>
      <c r="AI298" s="163">
        <v>54955000</v>
      </c>
    </row>
    <row r="299" spans="1:35" x14ac:dyDescent="0.2">
      <c r="A299" t="s">
        <v>636</v>
      </c>
      <c r="B299" t="s">
        <v>292</v>
      </c>
      <c r="C299" s="163">
        <v>73584184.673562795</v>
      </c>
      <c r="D299" s="163">
        <v>49525470.673562795</v>
      </c>
      <c r="E299" s="163">
        <v>19807721</v>
      </c>
      <c r="F299" s="163">
        <v>9276171.4355484601</v>
      </c>
      <c r="G299" s="163">
        <v>7966012.4355484601</v>
      </c>
      <c r="H299" s="163">
        <v>1310159</v>
      </c>
      <c r="I299" s="163">
        <v>6529282.2177490396</v>
      </c>
      <c r="J299" s="163">
        <v>6529282.2177490396</v>
      </c>
      <c r="K299" s="163">
        <v>0</v>
      </c>
      <c r="L299" s="163">
        <v>4002266.8995574298</v>
      </c>
      <c r="M299" s="163">
        <v>256392</v>
      </c>
      <c r="N299" s="163">
        <v>79569</v>
      </c>
      <c r="O299" s="163">
        <v>178191</v>
      </c>
      <c r="P299" s="163">
        <v>3488115</v>
      </c>
      <c r="Q299" s="163">
        <v>3689460</v>
      </c>
      <c r="R299" s="163">
        <v>561533</v>
      </c>
      <c r="S299" s="163">
        <v>10690153</v>
      </c>
      <c r="T299" s="163">
        <v>6309</v>
      </c>
      <c r="U299" s="163">
        <v>176000</v>
      </c>
      <c r="V299" s="163">
        <v>9505</v>
      </c>
      <c r="W299" s="163">
        <v>3396</v>
      </c>
      <c r="X299" s="163">
        <v>56</v>
      </c>
      <c r="Y299" s="163">
        <v>75</v>
      </c>
      <c r="Z299" s="163">
        <v>168</v>
      </c>
      <c r="AA299" s="163">
        <v>455</v>
      </c>
      <c r="AB299" s="163">
        <v>6663</v>
      </c>
      <c r="AC299" s="163">
        <v>5345</v>
      </c>
      <c r="AD299" s="163">
        <v>1313</v>
      </c>
      <c r="AE299" s="163">
        <v>503</v>
      </c>
      <c r="AF299" s="163">
        <v>1757</v>
      </c>
      <c r="AG299" s="163">
        <v>253</v>
      </c>
      <c r="AH299" s="163">
        <v>116957000</v>
      </c>
      <c r="AI299" s="163">
        <v>116371000</v>
      </c>
    </row>
    <row r="300" spans="1:35" x14ac:dyDescent="0.2">
      <c r="A300" t="s">
        <v>633</v>
      </c>
      <c r="B300" t="s">
        <v>390</v>
      </c>
      <c r="C300" s="163">
        <v>12194987.654339511</v>
      </c>
      <c r="D300" s="163">
        <v>8089420.6543395109</v>
      </c>
      <c r="E300" s="163">
        <v>3355349</v>
      </c>
      <c r="F300" s="163">
        <v>1669908.11495453</v>
      </c>
      <c r="G300" s="163">
        <v>1049060.11495453</v>
      </c>
      <c r="H300" s="163">
        <v>620848</v>
      </c>
      <c r="I300" s="163">
        <v>1107580.2165684099</v>
      </c>
      <c r="J300" s="163">
        <v>1107580.2165684099</v>
      </c>
      <c r="K300" s="163">
        <v>0</v>
      </c>
      <c r="L300" s="163">
        <v>577860.31387235201</v>
      </c>
      <c r="M300" s="163">
        <v>22400</v>
      </c>
      <c r="N300" s="163">
        <v>16751</v>
      </c>
      <c r="O300" s="163">
        <v>22090</v>
      </c>
      <c r="P300" s="163">
        <v>516619</v>
      </c>
      <c r="Q300" s="163">
        <v>637674</v>
      </c>
      <c r="R300" s="163">
        <v>112544</v>
      </c>
      <c r="S300" s="163">
        <v>927868</v>
      </c>
      <c r="T300" s="163">
        <v>0</v>
      </c>
      <c r="U300" s="163">
        <v>52000</v>
      </c>
      <c r="V300" s="163">
        <v>864</v>
      </c>
      <c r="W300" s="163">
        <v>625</v>
      </c>
      <c r="X300" s="163">
        <v>0</v>
      </c>
      <c r="Y300" s="163">
        <v>540</v>
      </c>
      <c r="Z300" s="163">
        <v>29</v>
      </c>
      <c r="AA300" s="163">
        <v>86</v>
      </c>
      <c r="AB300" s="163">
        <v>973</v>
      </c>
      <c r="AC300" s="163">
        <v>0</v>
      </c>
      <c r="AD300" s="163">
        <v>147</v>
      </c>
      <c r="AE300" s="163">
        <v>152</v>
      </c>
      <c r="AF300" s="163">
        <v>180</v>
      </c>
      <c r="AG300" s="163">
        <v>10</v>
      </c>
      <c r="AH300" s="163">
        <v>19711000</v>
      </c>
      <c r="AI300" s="163">
        <v>19882000</v>
      </c>
    </row>
    <row r="301" spans="1:35" x14ac:dyDescent="0.2">
      <c r="A301" t="s">
        <v>632</v>
      </c>
      <c r="B301" t="s">
        <v>525</v>
      </c>
      <c r="C301" s="163">
        <v>145068947.43923739</v>
      </c>
      <c r="D301" s="163">
        <v>89111653.439237386</v>
      </c>
      <c r="E301" s="163">
        <v>47633342</v>
      </c>
      <c r="F301" s="163">
        <v>18235247.202008568</v>
      </c>
      <c r="G301" s="163">
        <v>16250597.202008568</v>
      </c>
      <c r="H301" s="163">
        <v>1984650</v>
      </c>
      <c r="I301" s="163">
        <v>12127498.906697446</v>
      </c>
      <c r="J301" s="163">
        <v>12127498.906697446</v>
      </c>
      <c r="K301" s="163">
        <v>0</v>
      </c>
      <c r="L301" s="163">
        <v>17230770.835428227</v>
      </c>
      <c r="M301" s="163">
        <v>3420852</v>
      </c>
      <c r="N301" s="163">
        <v>138199</v>
      </c>
      <c r="O301" s="163">
        <v>216480</v>
      </c>
      <c r="P301" s="163">
        <v>13455240</v>
      </c>
      <c r="Q301" s="163">
        <v>7182994</v>
      </c>
      <c r="R301" s="163">
        <v>1140958</v>
      </c>
      <c r="S301" s="163">
        <v>30093553</v>
      </c>
      <c r="T301" s="163">
        <v>58843</v>
      </c>
      <c r="U301" s="163">
        <v>233000</v>
      </c>
      <c r="V301" s="163">
        <v>11031</v>
      </c>
      <c r="W301" s="163">
        <v>8396</v>
      </c>
      <c r="X301" s="163">
        <v>2620</v>
      </c>
      <c r="Y301" s="163">
        <v>2479</v>
      </c>
      <c r="Z301" s="163">
        <v>2122</v>
      </c>
      <c r="AA301" s="163">
        <v>2100</v>
      </c>
      <c r="AB301" s="163">
        <v>7765</v>
      </c>
      <c r="AC301" s="163">
        <v>8227</v>
      </c>
      <c r="AD301" s="163">
        <v>1466</v>
      </c>
      <c r="AE301" s="163">
        <v>604</v>
      </c>
      <c r="AF301" s="163">
        <v>1459</v>
      </c>
      <c r="AG301" s="163">
        <v>1209</v>
      </c>
      <c r="AH301" s="163">
        <v>221552000</v>
      </c>
      <c r="AI301" s="163">
        <v>226039000</v>
      </c>
    </row>
    <row r="302" spans="1:35" x14ac:dyDescent="0.2">
      <c r="A302" t="s">
        <v>637</v>
      </c>
      <c r="B302" t="s">
        <v>174</v>
      </c>
      <c r="C302" s="163">
        <v>10629711.942435132</v>
      </c>
      <c r="D302" s="163">
        <v>7109820.9424351323</v>
      </c>
      <c r="E302" s="163">
        <v>2814338</v>
      </c>
      <c r="F302" s="163">
        <v>1834504.2703959499</v>
      </c>
      <c r="G302" s="163">
        <v>1419257.2703959499</v>
      </c>
      <c r="H302" s="163">
        <v>415247</v>
      </c>
      <c r="I302" s="163">
        <v>855295.87499712605</v>
      </c>
      <c r="J302" s="163">
        <v>855295.87499712605</v>
      </c>
      <c r="K302" s="163">
        <v>0</v>
      </c>
      <c r="L302" s="163">
        <v>124537.810052386</v>
      </c>
      <c r="M302" s="163">
        <v>89885</v>
      </c>
      <c r="N302" s="163">
        <v>12564</v>
      </c>
      <c r="O302" s="163">
        <v>22090</v>
      </c>
      <c r="P302" s="163">
        <v>0</v>
      </c>
      <c r="Q302" s="163">
        <v>483917</v>
      </c>
      <c r="R302" s="163">
        <v>221636</v>
      </c>
      <c r="S302" s="163">
        <v>1302424</v>
      </c>
      <c r="T302" s="163">
        <v>1269</v>
      </c>
      <c r="U302" s="163">
        <v>0</v>
      </c>
      <c r="V302" s="163">
        <v>963</v>
      </c>
      <c r="W302" s="163">
        <v>550</v>
      </c>
      <c r="X302" s="163">
        <v>0</v>
      </c>
      <c r="Y302" s="163">
        <v>0</v>
      </c>
      <c r="Z302" s="163">
        <v>0</v>
      </c>
      <c r="AA302" s="163">
        <v>0</v>
      </c>
      <c r="AB302" s="163">
        <v>885</v>
      </c>
      <c r="AC302" s="163">
        <v>819</v>
      </c>
      <c r="AD302" s="163">
        <v>125</v>
      </c>
      <c r="AE302" s="163">
        <v>41</v>
      </c>
      <c r="AF302" s="163">
        <v>140</v>
      </c>
      <c r="AG302" s="163">
        <v>0</v>
      </c>
      <c r="AH302" s="163">
        <v>15630000</v>
      </c>
      <c r="AI302" s="163">
        <v>15498000</v>
      </c>
    </row>
    <row r="303" spans="1:35" x14ac:dyDescent="0.2">
      <c r="A303" t="s">
        <v>640</v>
      </c>
      <c r="B303" t="s">
        <v>412</v>
      </c>
      <c r="C303" s="163">
        <v>85966329.639457256</v>
      </c>
      <c r="D303" s="163">
        <v>49857234.639457256</v>
      </c>
      <c r="E303" s="163">
        <v>29725963</v>
      </c>
      <c r="F303" s="163">
        <v>10910668.751100199</v>
      </c>
      <c r="G303" s="163">
        <v>9476407.7511001993</v>
      </c>
      <c r="H303" s="163">
        <v>1434261</v>
      </c>
      <c r="I303" s="163">
        <v>8248492.6491718898</v>
      </c>
      <c r="J303" s="163">
        <v>8248492.6491718898</v>
      </c>
      <c r="K303" s="163">
        <v>0</v>
      </c>
      <c r="L303" s="163">
        <v>10566801.9270385</v>
      </c>
      <c r="M303" s="163">
        <v>1283871</v>
      </c>
      <c r="N303" s="163">
        <v>58630</v>
      </c>
      <c r="O303" s="163">
        <v>430014</v>
      </c>
      <c r="P303" s="163">
        <v>8794287</v>
      </c>
      <c r="Q303" s="163">
        <v>5142961</v>
      </c>
      <c r="R303" s="163">
        <v>1240171</v>
      </c>
      <c r="S303" s="163">
        <v>14510670</v>
      </c>
      <c r="T303" s="163">
        <v>4890</v>
      </c>
      <c r="U303" s="163">
        <v>701000</v>
      </c>
      <c r="V303" s="163">
        <v>6693</v>
      </c>
      <c r="W303" s="163">
        <v>9733</v>
      </c>
      <c r="X303" s="163">
        <v>1123</v>
      </c>
      <c r="Y303" s="163">
        <v>1603</v>
      </c>
      <c r="Z303" s="163">
        <v>187</v>
      </c>
      <c r="AA303" s="163">
        <v>760</v>
      </c>
      <c r="AB303" s="163">
        <v>4856</v>
      </c>
      <c r="AC303" s="163">
        <v>7333</v>
      </c>
      <c r="AD303" s="163">
        <v>968</v>
      </c>
      <c r="AE303" s="163">
        <v>583</v>
      </c>
      <c r="AF303" s="163">
        <v>2656</v>
      </c>
      <c r="AG303" s="163">
        <v>185</v>
      </c>
      <c r="AH303" s="163">
        <v>145946000</v>
      </c>
      <c r="AI303" s="163">
        <v>145316000</v>
      </c>
    </row>
    <row r="304" spans="1:35" x14ac:dyDescent="0.2">
      <c r="A304" t="s">
        <v>632</v>
      </c>
      <c r="B304" t="s">
        <v>195</v>
      </c>
      <c r="C304" s="163">
        <v>8152226.3298621839</v>
      </c>
      <c r="D304" s="163">
        <v>6517115.3298621839</v>
      </c>
      <c r="E304" s="163">
        <v>1287398</v>
      </c>
      <c r="F304" s="163">
        <v>576669.66553873406</v>
      </c>
      <c r="G304" s="163">
        <v>575797.66553873406</v>
      </c>
      <c r="H304" s="163">
        <v>872</v>
      </c>
      <c r="I304" s="163">
        <v>464450.77009053098</v>
      </c>
      <c r="J304" s="163">
        <v>464450.77009053098</v>
      </c>
      <c r="K304" s="163">
        <v>0</v>
      </c>
      <c r="L304" s="163">
        <v>246277.20968410399</v>
      </c>
      <c r="M304" s="163">
        <v>12479</v>
      </c>
      <c r="N304" s="163">
        <v>2792</v>
      </c>
      <c r="O304" s="163">
        <v>4418</v>
      </c>
      <c r="P304" s="163">
        <v>226589</v>
      </c>
      <c r="Q304" s="163">
        <v>292759</v>
      </c>
      <c r="R304" s="163">
        <v>54954</v>
      </c>
      <c r="S304" s="163">
        <v>361432</v>
      </c>
      <c r="T304" s="163">
        <v>242</v>
      </c>
      <c r="U304" s="163">
        <v>49000</v>
      </c>
      <c r="V304" s="163">
        <v>861</v>
      </c>
      <c r="W304" s="163">
        <v>775</v>
      </c>
      <c r="X304" s="163">
        <v>0</v>
      </c>
      <c r="Y304" s="163">
        <v>115</v>
      </c>
      <c r="Z304" s="163">
        <v>2883</v>
      </c>
      <c r="AA304" s="163">
        <v>594</v>
      </c>
      <c r="AB304" s="163">
        <v>830</v>
      </c>
      <c r="AC304" s="163">
        <v>656</v>
      </c>
      <c r="AD304" s="163">
        <v>141</v>
      </c>
      <c r="AE304" s="163">
        <v>7</v>
      </c>
      <c r="AF304" s="163">
        <v>207</v>
      </c>
      <c r="AG304" s="163">
        <v>321</v>
      </c>
      <c r="AH304" s="163">
        <v>19964000</v>
      </c>
      <c r="AI304" s="163">
        <v>19963000</v>
      </c>
    </row>
    <row r="305" spans="1:35" x14ac:dyDescent="0.2">
      <c r="A305" t="s">
        <v>630</v>
      </c>
      <c r="B305" t="s">
        <v>336</v>
      </c>
      <c r="C305" s="163">
        <v>23558140.069241546</v>
      </c>
      <c r="D305" s="163">
        <v>15428864.069241546</v>
      </c>
      <c r="E305" s="163">
        <v>6963756</v>
      </c>
      <c r="F305" s="163">
        <v>2580764.7876844602</v>
      </c>
      <c r="G305" s="163">
        <v>2220824.7876844602</v>
      </c>
      <c r="H305" s="163">
        <v>359940</v>
      </c>
      <c r="I305" s="163">
        <v>1828342.0946001101</v>
      </c>
      <c r="J305" s="163">
        <v>1828342.0946001101</v>
      </c>
      <c r="K305" s="163">
        <v>0</v>
      </c>
      <c r="L305" s="163">
        <v>2554649.22222686</v>
      </c>
      <c r="M305" s="163">
        <v>57706</v>
      </c>
      <c r="N305" s="163">
        <v>29315</v>
      </c>
      <c r="O305" s="163">
        <v>73633</v>
      </c>
      <c r="P305" s="163">
        <v>2393996</v>
      </c>
      <c r="Q305" s="163">
        <v>1018123</v>
      </c>
      <c r="R305" s="163">
        <v>147397</v>
      </c>
      <c r="S305" s="163">
        <v>1591540</v>
      </c>
      <c r="T305" s="163">
        <v>1006</v>
      </c>
      <c r="U305" s="163">
        <v>0</v>
      </c>
      <c r="V305" s="163">
        <v>1042</v>
      </c>
      <c r="W305" s="163">
        <v>851</v>
      </c>
      <c r="X305" s="163">
        <v>2863</v>
      </c>
      <c r="Y305" s="163">
        <v>153</v>
      </c>
      <c r="Z305" s="163">
        <v>4896</v>
      </c>
      <c r="AA305" s="163">
        <v>1149</v>
      </c>
      <c r="AB305" s="163">
        <v>3132</v>
      </c>
      <c r="AC305" s="163">
        <v>1684</v>
      </c>
      <c r="AD305" s="163">
        <v>312</v>
      </c>
      <c r="AE305" s="163">
        <v>54</v>
      </c>
      <c r="AF305" s="163">
        <v>1004</v>
      </c>
      <c r="AG305" s="163">
        <v>217</v>
      </c>
      <c r="AH305" s="163">
        <v>54792000</v>
      </c>
      <c r="AI305" s="163">
        <v>54803000</v>
      </c>
    </row>
    <row r="306" spans="1:35" x14ac:dyDescent="0.2">
      <c r="A306" t="s">
        <v>633</v>
      </c>
      <c r="B306" t="s">
        <v>391</v>
      </c>
      <c r="C306" s="163">
        <v>40794400.532914698</v>
      </c>
      <c r="D306" s="163">
        <v>25910248.532914698</v>
      </c>
      <c r="E306" s="163">
        <v>12653712</v>
      </c>
      <c r="F306" s="163">
        <v>6354628.4882292002</v>
      </c>
      <c r="G306" s="163">
        <v>4681891.4882292002</v>
      </c>
      <c r="H306" s="163">
        <v>1672737</v>
      </c>
      <c r="I306" s="163">
        <v>3499248.4050870701</v>
      </c>
      <c r="J306" s="163">
        <v>3499248.4050870701</v>
      </c>
      <c r="K306" s="163">
        <v>0</v>
      </c>
      <c r="L306" s="163">
        <v>2799834.62535745</v>
      </c>
      <c r="M306" s="163">
        <v>90486</v>
      </c>
      <c r="N306" s="163">
        <v>65610</v>
      </c>
      <c r="O306" s="163">
        <v>128121</v>
      </c>
      <c r="P306" s="163">
        <v>2515618</v>
      </c>
      <c r="Q306" s="163">
        <v>2017593</v>
      </c>
      <c r="R306" s="163">
        <v>212847</v>
      </c>
      <c r="S306" s="163">
        <v>4629514</v>
      </c>
      <c r="T306" s="163">
        <v>2103</v>
      </c>
      <c r="U306" s="163">
        <v>88000</v>
      </c>
      <c r="V306" s="163">
        <v>3484</v>
      </c>
      <c r="W306" s="163">
        <v>2167</v>
      </c>
      <c r="X306" s="163">
        <v>18</v>
      </c>
      <c r="Y306" s="163">
        <v>2690</v>
      </c>
      <c r="Z306" s="163">
        <v>0</v>
      </c>
      <c r="AA306" s="163">
        <v>127</v>
      </c>
      <c r="AB306" s="163">
        <v>2681</v>
      </c>
      <c r="AC306" s="163">
        <v>3862</v>
      </c>
      <c r="AD306" s="163">
        <v>590</v>
      </c>
      <c r="AE306" s="163">
        <v>0</v>
      </c>
      <c r="AF306" s="163">
        <v>1100</v>
      </c>
      <c r="AG306" s="163">
        <v>162</v>
      </c>
      <c r="AH306" s="163">
        <v>83118000</v>
      </c>
      <c r="AI306" s="163">
        <v>82481000</v>
      </c>
    </row>
    <row r="307" spans="1:35" x14ac:dyDescent="0.2">
      <c r="A307" t="s">
        <v>640</v>
      </c>
      <c r="B307" t="s">
        <v>413</v>
      </c>
      <c r="C307" s="163">
        <v>35356858.188071668</v>
      </c>
      <c r="D307" s="163">
        <v>21776383.188071668</v>
      </c>
      <c r="E307" s="163">
        <v>11196231</v>
      </c>
      <c r="F307" s="163">
        <v>5493915.7932174504</v>
      </c>
      <c r="G307" s="163">
        <v>4884114.7932174504</v>
      </c>
      <c r="H307" s="163">
        <v>609801</v>
      </c>
      <c r="I307" s="163">
        <v>3334226.4478066498</v>
      </c>
      <c r="J307" s="163">
        <v>3334226.4478066498</v>
      </c>
      <c r="K307" s="163">
        <v>0</v>
      </c>
      <c r="L307" s="163">
        <v>2368089.08916044</v>
      </c>
      <c r="M307" s="163">
        <v>305849</v>
      </c>
      <c r="N307" s="163">
        <v>29315</v>
      </c>
      <c r="O307" s="163">
        <v>83941</v>
      </c>
      <c r="P307" s="163">
        <v>1948984</v>
      </c>
      <c r="Q307" s="163">
        <v>1965991</v>
      </c>
      <c r="R307" s="163">
        <v>418253</v>
      </c>
      <c r="S307" s="163">
        <v>4738405</v>
      </c>
      <c r="T307" s="163">
        <v>4383</v>
      </c>
      <c r="U307" s="163">
        <v>158000</v>
      </c>
      <c r="V307" s="163">
        <v>2404</v>
      </c>
      <c r="W307" s="163">
        <v>1782</v>
      </c>
      <c r="X307" s="163">
        <v>0</v>
      </c>
      <c r="Y307" s="163">
        <v>563</v>
      </c>
      <c r="Z307" s="163">
        <v>212</v>
      </c>
      <c r="AA307" s="163">
        <v>284</v>
      </c>
      <c r="AB307" s="163">
        <v>2255</v>
      </c>
      <c r="AC307" s="163">
        <v>2463</v>
      </c>
      <c r="AD307" s="163">
        <v>381</v>
      </c>
      <c r="AE307" s="163">
        <v>516</v>
      </c>
      <c r="AF307" s="163">
        <v>507</v>
      </c>
      <c r="AG307" s="163">
        <v>149</v>
      </c>
      <c r="AH307" s="163">
        <v>56347000</v>
      </c>
      <c r="AI307" s="163">
        <v>57603000</v>
      </c>
    </row>
    <row r="308" spans="1:35" x14ac:dyDescent="0.2">
      <c r="A308" t="s">
        <v>631</v>
      </c>
      <c r="B308" t="s">
        <v>266</v>
      </c>
      <c r="C308" s="163">
        <v>69915113.168427497</v>
      </c>
      <c r="D308" s="163">
        <v>40060034.168427497</v>
      </c>
      <c r="E308" s="163">
        <v>26257914</v>
      </c>
      <c r="F308" s="163">
        <v>9880751.1435831599</v>
      </c>
      <c r="G308" s="163">
        <v>8371911.1435831599</v>
      </c>
      <c r="H308" s="163">
        <v>1508840</v>
      </c>
      <c r="I308" s="163">
        <v>5886828.88723063</v>
      </c>
      <c r="J308" s="163">
        <v>5886828.88723063</v>
      </c>
      <c r="K308" s="163">
        <v>0</v>
      </c>
      <c r="L308" s="163">
        <v>10490334.0309639</v>
      </c>
      <c r="M308" s="163">
        <v>1872697</v>
      </c>
      <c r="N308" s="163">
        <v>107488</v>
      </c>
      <c r="O308" s="163">
        <v>365218</v>
      </c>
      <c r="P308" s="163">
        <v>8144931</v>
      </c>
      <c r="Q308" s="163">
        <v>3061155</v>
      </c>
      <c r="R308" s="163">
        <v>536010</v>
      </c>
      <c r="S308" s="163">
        <v>15037549</v>
      </c>
      <c r="T308" s="163">
        <v>10296</v>
      </c>
      <c r="U308" s="163">
        <v>1310000</v>
      </c>
      <c r="V308" s="163">
        <v>4420</v>
      </c>
      <c r="W308" s="163">
        <v>4183</v>
      </c>
      <c r="X308" s="163">
        <v>2361</v>
      </c>
      <c r="Y308" s="163">
        <v>1290</v>
      </c>
      <c r="Z308" s="163">
        <v>600</v>
      </c>
      <c r="AA308" s="163">
        <v>693</v>
      </c>
      <c r="AB308" s="163">
        <v>3928</v>
      </c>
      <c r="AC308" s="163">
        <v>0</v>
      </c>
      <c r="AD308" s="163">
        <v>529</v>
      </c>
      <c r="AE308" s="163">
        <v>228</v>
      </c>
      <c r="AF308" s="163">
        <v>592</v>
      </c>
      <c r="AG308" s="163">
        <v>258</v>
      </c>
      <c r="AH308" s="163">
        <v>115836000</v>
      </c>
      <c r="AI308" s="163">
        <v>115492000</v>
      </c>
    </row>
    <row r="309" spans="1:35" x14ac:dyDescent="0.2">
      <c r="A309" t="s">
        <v>629</v>
      </c>
      <c r="B309" t="s">
        <v>467</v>
      </c>
      <c r="C309" s="163">
        <v>427663825.29967213</v>
      </c>
      <c r="D309" s="163">
        <v>219292339.29967213</v>
      </c>
      <c r="E309" s="163">
        <v>172903280</v>
      </c>
      <c r="F309" s="163">
        <v>50745508.159006201</v>
      </c>
      <c r="G309" s="163">
        <v>41855035.159006201</v>
      </c>
      <c r="H309" s="163">
        <v>8890473</v>
      </c>
      <c r="I309" s="163">
        <v>80033215.736763194</v>
      </c>
      <c r="J309" s="163">
        <v>28140447.013220049</v>
      </c>
      <c r="K309" s="163">
        <v>51892768.723543145</v>
      </c>
      <c r="L309" s="163">
        <v>41621985.323808201</v>
      </c>
      <c r="M309" s="163">
        <v>9888734</v>
      </c>
      <c r="N309" s="163">
        <v>291753</v>
      </c>
      <c r="O309" s="163">
        <v>1164868</v>
      </c>
      <c r="P309" s="163">
        <v>30276631</v>
      </c>
      <c r="Q309" s="163">
        <v>16670833</v>
      </c>
      <c r="R309" s="163">
        <v>18797373</v>
      </c>
      <c r="S309" s="163">
        <v>95422328</v>
      </c>
      <c r="T309" s="163">
        <v>67646</v>
      </c>
      <c r="U309" s="163">
        <v>7151000</v>
      </c>
      <c r="V309" s="163">
        <v>19149</v>
      </c>
      <c r="W309" s="163">
        <v>20786</v>
      </c>
      <c r="X309" s="163">
        <v>12018</v>
      </c>
      <c r="Y309" s="163">
        <v>696</v>
      </c>
      <c r="Z309" s="163">
        <v>290</v>
      </c>
      <c r="AA309" s="163">
        <v>2573</v>
      </c>
      <c r="AB309" s="163">
        <v>14090</v>
      </c>
      <c r="AC309" s="163">
        <v>21892</v>
      </c>
      <c r="AD309" s="163">
        <v>4022</v>
      </c>
      <c r="AE309" s="163">
        <v>322</v>
      </c>
      <c r="AF309" s="163">
        <v>6317</v>
      </c>
      <c r="AG309" s="163">
        <v>542</v>
      </c>
      <c r="AH309" s="163">
        <v>852895000</v>
      </c>
      <c r="AI309" s="163">
        <v>791859000</v>
      </c>
    </row>
    <row r="310" spans="1:35" x14ac:dyDescent="0.2">
      <c r="A310" t="s">
        <v>634</v>
      </c>
      <c r="B310" t="s">
        <v>218</v>
      </c>
      <c r="C310" s="163">
        <v>25062936.333769612</v>
      </c>
      <c r="D310" s="163">
        <v>15744206.333769612</v>
      </c>
      <c r="E310" s="163">
        <v>7770452</v>
      </c>
      <c r="F310" s="163">
        <v>3103481.7454404002</v>
      </c>
      <c r="G310" s="163">
        <v>2772908.7454404002</v>
      </c>
      <c r="H310" s="163">
        <v>330573</v>
      </c>
      <c r="I310" s="163">
        <v>2319715.7805578602</v>
      </c>
      <c r="J310" s="163">
        <v>2319715.7805578602</v>
      </c>
      <c r="K310" s="163">
        <v>0</v>
      </c>
      <c r="L310" s="163">
        <v>2347254.6702491902</v>
      </c>
      <c r="M310" s="163">
        <v>53430</v>
      </c>
      <c r="N310" s="163">
        <v>15355</v>
      </c>
      <c r="O310" s="163">
        <v>32398</v>
      </c>
      <c r="P310" s="163">
        <v>2246071</v>
      </c>
      <c r="Q310" s="163">
        <v>1353300</v>
      </c>
      <c r="R310" s="163">
        <v>194978</v>
      </c>
      <c r="S310" s="163">
        <v>2110963</v>
      </c>
      <c r="T310" s="163">
        <v>6627</v>
      </c>
      <c r="U310" s="163">
        <v>59000</v>
      </c>
      <c r="V310" s="163">
        <v>2260</v>
      </c>
      <c r="W310" s="163">
        <v>1703</v>
      </c>
      <c r="X310" s="163">
        <v>0</v>
      </c>
      <c r="Y310" s="163">
        <v>0</v>
      </c>
      <c r="Z310" s="163">
        <v>190</v>
      </c>
      <c r="AA310" s="163">
        <v>102</v>
      </c>
      <c r="AB310" s="163">
        <v>1886</v>
      </c>
      <c r="AC310" s="163">
        <v>848</v>
      </c>
      <c r="AD310" s="163">
        <v>259</v>
      </c>
      <c r="AE310" s="163">
        <v>0</v>
      </c>
      <c r="AF310" s="163">
        <v>529</v>
      </c>
      <c r="AG310" s="163">
        <v>29</v>
      </c>
      <c r="AH310" s="163">
        <v>39395000</v>
      </c>
      <c r="AI310" s="163">
        <v>39381000</v>
      </c>
    </row>
    <row r="311" spans="1:35" x14ac:dyDescent="0.2">
      <c r="A311" t="s">
        <v>634</v>
      </c>
      <c r="B311" t="s">
        <v>219</v>
      </c>
      <c r="C311" s="163">
        <v>50964736.23634778</v>
      </c>
      <c r="D311" s="163">
        <v>26612597.23634778</v>
      </c>
      <c r="E311" s="163">
        <v>21479277</v>
      </c>
      <c r="F311" s="163">
        <v>8680862.9796710405</v>
      </c>
      <c r="G311" s="163">
        <v>6826225.9796710405</v>
      </c>
      <c r="H311" s="163">
        <v>1854637</v>
      </c>
      <c r="I311" s="163">
        <v>5240073.5938241202</v>
      </c>
      <c r="J311" s="163">
        <v>5240073.5938241202</v>
      </c>
      <c r="K311" s="163">
        <v>0</v>
      </c>
      <c r="L311" s="163">
        <v>7558340.2775969598</v>
      </c>
      <c r="M311" s="163">
        <v>536491</v>
      </c>
      <c r="N311" s="163">
        <v>62818</v>
      </c>
      <c r="O311" s="163">
        <v>136957</v>
      </c>
      <c r="P311" s="163">
        <v>6822075</v>
      </c>
      <c r="Q311" s="163">
        <v>2554111</v>
      </c>
      <c r="R311" s="163">
        <v>318751</v>
      </c>
      <c r="S311" s="163">
        <v>7325841</v>
      </c>
      <c r="T311" s="163">
        <v>14682</v>
      </c>
      <c r="U311" s="163">
        <v>270000</v>
      </c>
      <c r="V311" s="163">
        <v>3523</v>
      </c>
      <c r="W311" s="163">
        <v>1840</v>
      </c>
      <c r="X311" s="163">
        <v>0</v>
      </c>
      <c r="Y311" s="163">
        <v>0</v>
      </c>
      <c r="Z311" s="163">
        <v>38</v>
      </c>
      <c r="AA311" s="163">
        <v>177</v>
      </c>
      <c r="AB311" s="163">
        <v>3433</v>
      </c>
      <c r="AC311" s="163">
        <v>1921</v>
      </c>
      <c r="AD311" s="163">
        <v>411</v>
      </c>
      <c r="AE311" s="163">
        <v>580</v>
      </c>
      <c r="AF311" s="163">
        <v>641</v>
      </c>
      <c r="AG311" s="163">
        <v>21</v>
      </c>
      <c r="AH311" s="163">
        <v>76336000</v>
      </c>
      <c r="AI311" s="163">
        <v>77532000</v>
      </c>
    </row>
    <row r="312" spans="1:35" x14ac:dyDescent="0.2">
      <c r="A312" t="s">
        <v>628</v>
      </c>
      <c r="B312" t="s">
        <v>152</v>
      </c>
      <c r="C312" s="163">
        <v>38199039.950613767</v>
      </c>
      <c r="D312" s="163">
        <v>24998584.950613767</v>
      </c>
      <c r="E312" s="163">
        <v>10441483</v>
      </c>
      <c r="F312" s="163">
        <v>5625978.9352446999</v>
      </c>
      <c r="G312" s="163">
        <v>4843907.9352446999</v>
      </c>
      <c r="H312" s="163">
        <v>782071</v>
      </c>
      <c r="I312" s="163">
        <v>4146031.1580954301</v>
      </c>
      <c r="J312" s="163">
        <v>4146031.1580954301</v>
      </c>
      <c r="K312" s="163">
        <v>0</v>
      </c>
      <c r="L312" s="163">
        <v>669472.45788741496</v>
      </c>
      <c r="M312" s="163">
        <v>494657</v>
      </c>
      <c r="N312" s="163">
        <v>61422</v>
      </c>
      <c r="O312" s="163">
        <v>113394</v>
      </c>
      <c r="P312" s="163">
        <v>0</v>
      </c>
      <c r="Q312" s="163">
        <v>2475569</v>
      </c>
      <c r="R312" s="163">
        <v>283403</v>
      </c>
      <c r="S312" s="163">
        <v>6530499</v>
      </c>
      <c r="T312" s="163">
        <v>13411</v>
      </c>
      <c r="U312" s="163">
        <v>0</v>
      </c>
      <c r="V312" s="163">
        <v>3989</v>
      </c>
      <c r="W312" s="163">
        <v>1272</v>
      </c>
      <c r="X312" s="163">
        <v>0</v>
      </c>
      <c r="Y312" s="163">
        <v>0</v>
      </c>
      <c r="Z312" s="163">
        <v>361</v>
      </c>
      <c r="AA312" s="163">
        <v>63</v>
      </c>
      <c r="AB312" s="163">
        <v>2613</v>
      </c>
      <c r="AC312" s="163">
        <v>2545</v>
      </c>
      <c r="AD312" s="163">
        <v>574</v>
      </c>
      <c r="AE312" s="163">
        <v>442</v>
      </c>
      <c r="AF312" s="163">
        <v>1147</v>
      </c>
      <c r="AG312" s="163">
        <v>274</v>
      </c>
      <c r="AH312" s="163">
        <v>71675000</v>
      </c>
      <c r="AI312" s="163">
        <v>73897000</v>
      </c>
    </row>
    <row r="313" spans="1:35" x14ac:dyDescent="0.2">
      <c r="A313" t="s">
        <v>632</v>
      </c>
      <c r="B313" t="s">
        <v>196</v>
      </c>
      <c r="C313" s="163">
        <v>46924398.015284322</v>
      </c>
      <c r="D313" s="163">
        <v>27403390.015284322</v>
      </c>
      <c r="E313" s="163">
        <v>16501069</v>
      </c>
      <c r="F313" s="163">
        <v>7796121.0389896603</v>
      </c>
      <c r="G313" s="163">
        <v>5829475.0389896603</v>
      </c>
      <c r="H313" s="163">
        <v>1966646</v>
      </c>
      <c r="I313" s="163">
        <v>4287135.5958352098</v>
      </c>
      <c r="J313" s="163">
        <v>4287135.5958352098</v>
      </c>
      <c r="K313" s="163">
        <v>0</v>
      </c>
      <c r="L313" s="163">
        <v>4417812.2045986503</v>
      </c>
      <c r="M313" s="163">
        <v>717364</v>
      </c>
      <c r="N313" s="163">
        <v>50254</v>
      </c>
      <c r="O313" s="163">
        <v>83941</v>
      </c>
      <c r="P313" s="163">
        <v>3566253</v>
      </c>
      <c r="Q313" s="163">
        <v>2653771</v>
      </c>
      <c r="R313" s="163">
        <v>366168</v>
      </c>
      <c r="S313" s="163">
        <v>8233929</v>
      </c>
      <c r="T313" s="163">
        <v>6760</v>
      </c>
      <c r="U313" s="163">
        <v>119000</v>
      </c>
      <c r="V313" s="163">
        <v>5356</v>
      </c>
      <c r="W313" s="163">
        <v>2239</v>
      </c>
      <c r="X313" s="163">
        <v>0</v>
      </c>
      <c r="Y313" s="163">
        <v>2500</v>
      </c>
      <c r="Z313" s="163">
        <v>280</v>
      </c>
      <c r="AA313" s="163">
        <v>46</v>
      </c>
      <c r="AB313" s="163">
        <v>2591</v>
      </c>
      <c r="AC313" s="163">
        <v>2918</v>
      </c>
      <c r="AD313" s="163">
        <v>553</v>
      </c>
      <c r="AE313" s="163">
        <v>16</v>
      </c>
      <c r="AF313" s="163">
        <v>430</v>
      </c>
      <c r="AG313" s="163">
        <v>368</v>
      </c>
      <c r="AH313" s="163">
        <v>72415000</v>
      </c>
      <c r="AI313" s="163">
        <v>74834000</v>
      </c>
    </row>
    <row r="314" spans="1:35" x14ac:dyDescent="0.2">
      <c r="A314" t="s">
        <v>629</v>
      </c>
      <c r="B314" t="s">
        <v>468</v>
      </c>
      <c r="C314" s="163">
        <v>61437295.521382883</v>
      </c>
      <c r="D314" s="163">
        <v>35145357.521382883</v>
      </c>
      <c r="E314" s="163">
        <v>22718440</v>
      </c>
      <c r="F314" s="163">
        <v>8669654.5302257501</v>
      </c>
      <c r="G314" s="163">
        <v>7592607.5302257501</v>
      </c>
      <c r="H314" s="163">
        <v>1077047</v>
      </c>
      <c r="I314" s="163">
        <v>5520497.1311892904</v>
      </c>
      <c r="J314" s="163">
        <v>5520497.1311892904</v>
      </c>
      <c r="K314" s="163">
        <v>0</v>
      </c>
      <c r="L314" s="163">
        <v>8528288.4599869996</v>
      </c>
      <c r="M314" s="163">
        <v>566848</v>
      </c>
      <c r="N314" s="163">
        <v>82361</v>
      </c>
      <c r="O314" s="163">
        <v>307784</v>
      </c>
      <c r="P314" s="163">
        <v>7571296</v>
      </c>
      <c r="Q314" s="163">
        <v>3160858</v>
      </c>
      <c r="R314" s="163">
        <v>412640</v>
      </c>
      <c r="S314" s="163">
        <v>9605953</v>
      </c>
      <c r="T314" s="163">
        <v>14999</v>
      </c>
      <c r="U314" s="163">
        <v>280000</v>
      </c>
      <c r="V314" s="163">
        <v>4293</v>
      </c>
      <c r="W314" s="163">
        <v>4716</v>
      </c>
      <c r="X314" s="163">
        <v>2667</v>
      </c>
      <c r="Y314" s="163">
        <v>0</v>
      </c>
      <c r="Z314" s="163">
        <v>0</v>
      </c>
      <c r="AA314" s="163">
        <v>197</v>
      </c>
      <c r="AB314" s="163">
        <v>4044</v>
      </c>
      <c r="AC314" s="163">
        <v>4691</v>
      </c>
      <c r="AD314" s="163">
        <v>731</v>
      </c>
      <c r="AE314" s="163">
        <v>177</v>
      </c>
      <c r="AF314" s="163">
        <v>1011</v>
      </c>
      <c r="AG314" s="163">
        <v>417</v>
      </c>
      <c r="AH314" s="163">
        <v>105870000</v>
      </c>
      <c r="AI314" s="163">
        <v>105046000</v>
      </c>
    </row>
    <row r="315" spans="1:35" x14ac:dyDescent="0.2">
      <c r="A315" t="s">
        <v>630</v>
      </c>
      <c r="B315" t="s">
        <v>337</v>
      </c>
      <c r="C315" s="163">
        <v>13842213.309578564</v>
      </c>
      <c r="D315" s="163">
        <v>9355072.309578564</v>
      </c>
      <c r="E315" s="163">
        <v>3755882</v>
      </c>
      <c r="F315" s="163">
        <v>1854697.7285600801</v>
      </c>
      <c r="G315" s="163">
        <v>1742919.7285600801</v>
      </c>
      <c r="H315" s="163">
        <v>111778</v>
      </c>
      <c r="I315" s="163">
        <v>1046531.92272045</v>
      </c>
      <c r="J315" s="163">
        <v>1046531.92272045</v>
      </c>
      <c r="K315" s="163">
        <v>0</v>
      </c>
      <c r="L315" s="163">
        <v>854651.95998536295</v>
      </c>
      <c r="M315" s="163">
        <v>34350</v>
      </c>
      <c r="N315" s="163">
        <v>29315</v>
      </c>
      <c r="O315" s="163">
        <v>41234</v>
      </c>
      <c r="P315" s="163">
        <v>749752</v>
      </c>
      <c r="Q315" s="163">
        <v>632118</v>
      </c>
      <c r="R315" s="163">
        <v>99141</v>
      </c>
      <c r="S315" s="163">
        <v>1729560</v>
      </c>
      <c r="T315" s="163">
        <v>2246</v>
      </c>
      <c r="U315" s="163">
        <v>0</v>
      </c>
      <c r="V315" s="163">
        <v>1894</v>
      </c>
      <c r="W315" s="163">
        <v>657</v>
      </c>
      <c r="X315" s="163">
        <v>3</v>
      </c>
      <c r="Y315" s="163">
        <v>12</v>
      </c>
      <c r="Z315" s="163">
        <v>24</v>
      </c>
      <c r="AA315" s="163">
        <v>59</v>
      </c>
      <c r="AB315" s="163">
        <v>920</v>
      </c>
      <c r="AC315" s="163">
        <v>1268</v>
      </c>
      <c r="AD315" s="163">
        <v>226</v>
      </c>
      <c r="AE315" s="163">
        <v>13</v>
      </c>
      <c r="AF315" s="163">
        <v>154</v>
      </c>
      <c r="AG315" s="163">
        <v>47</v>
      </c>
      <c r="AH315" s="163">
        <v>21137000</v>
      </c>
      <c r="AI315" s="163">
        <v>20644000</v>
      </c>
    </row>
    <row r="316" spans="1:35" x14ac:dyDescent="0.2">
      <c r="A316" t="s">
        <v>630</v>
      </c>
      <c r="B316" t="s">
        <v>338</v>
      </c>
      <c r="C316" s="163">
        <v>36032019.088402301</v>
      </c>
      <c r="D316" s="163">
        <v>23818058.088402301</v>
      </c>
      <c r="E316" s="163">
        <v>10025525</v>
      </c>
      <c r="F316" s="163">
        <v>5316270.7334267497</v>
      </c>
      <c r="G316" s="163">
        <v>4556259.7334267497</v>
      </c>
      <c r="H316" s="163">
        <v>760011</v>
      </c>
      <c r="I316" s="163">
        <v>3171588.30371681</v>
      </c>
      <c r="J316" s="163">
        <v>3171588.30371681</v>
      </c>
      <c r="K316" s="163">
        <v>0</v>
      </c>
      <c r="L316" s="163">
        <v>1537666.34384812</v>
      </c>
      <c r="M316" s="163">
        <v>74046</v>
      </c>
      <c r="N316" s="163">
        <v>46066</v>
      </c>
      <c r="O316" s="163">
        <v>82469</v>
      </c>
      <c r="P316" s="163">
        <v>1335085</v>
      </c>
      <c r="Q316" s="163">
        <v>1895877</v>
      </c>
      <c r="R316" s="163">
        <v>292559</v>
      </c>
      <c r="S316" s="163">
        <v>5408608</v>
      </c>
      <c r="T316" s="163">
        <v>2201</v>
      </c>
      <c r="U316" s="163">
        <v>299000</v>
      </c>
      <c r="V316" s="163">
        <v>3963</v>
      </c>
      <c r="W316" s="163">
        <v>3082</v>
      </c>
      <c r="X316" s="163">
        <v>2</v>
      </c>
      <c r="Y316" s="163">
        <v>1532</v>
      </c>
      <c r="Z316" s="163">
        <v>30</v>
      </c>
      <c r="AA316" s="163">
        <v>155</v>
      </c>
      <c r="AB316" s="163">
        <v>3433</v>
      </c>
      <c r="AC316" s="163">
        <v>3184</v>
      </c>
      <c r="AD316" s="163">
        <v>520</v>
      </c>
      <c r="AE316" s="163">
        <v>324</v>
      </c>
      <c r="AF316" s="163">
        <v>1453</v>
      </c>
      <c r="AG316" s="163">
        <v>41</v>
      </c>
      <c r="AH316" s="163">
        <v>87366000</v>
      </c>
      <c r="AI316" s="163">
        <v>89415000</v>
      </c>
    </row>
    <row r="317" spans="1:35" x14ac:dyDescent="0.2">
      <c r="A317" t="s">
        <v>635</v>
      </c>
      <c r="B317" t="s">
        <v>515</v>
      </c>
      <c r="C317" s="163">
        <v>24985275.634319969</v>
      </c>
      <c r="D317" s="163">
        <v>14956277.634319969</v>
      </c>
      <c r="E317" s="163">
        <v>9163763</v>
      </c>
      <c r="F317" s="163">
        <v>5549918.6876467103</v>
      </c>
      <c r="G317" s="163">
        <v>3666763.6876467103</v>
      </c>
      <c r="H317" s="163">
        <v>1883155</v>
      </c>
      <c r="I317" s="163">
        <v>1952043.92278349</v>
      </c>
      <c r="J317" s="163">
        <v>1952043.92278349</v>
      </c>
      <c r="K317" s="163">
        <v>0</v>
      </c>
      <c r="L317" s="163">
        <v>1661800.78138035</v>
      </c>
      <c r="M317" s="163">
        <v>48561</v>
      </c>
      <c r="N317" s="163">
        <v>22335</v>
      </c>
      <c r="O317" s="163">
        <v>32398</v>
      </c>
      <c r="P317" s="163">
        <v>1558506</v>
      </c>
      <c r="Q317" s="163">
        <v>635797</v>
      </c>
      <c r="R317" s="163">
        <v>229438</v>
      </c>
      <c r="S317" s="163">
        <v>1738585</v>
      </c>
      <c r="T317" s="163">
        <v>11134</v>
      </c>
      <c r="U317" s="163">
        <v>202000</v>
      </c>
      <c r="V317" s="163">
        <v>2408</v>
      </c>
      <c r="W317" s="163">
        <v>1724</v>
      </c>
      <c r="X317" s="163">
        <v>0</v>
      </c>
      <c r="Y317" s="163">
        <v>18</v>
      </c>
      <c r="Z317" s="163">
        <v>29</v>
      </c>
      <c r="AA317" s="163">
        <v>62</v>
      </c>
      <c r="AB317" s="163">
        <v>2016</v>
      </c>
      <c r="AC317" s="163">
        <v>1356</v>
      </c>
      <c r="AD317" s="163">
        <v>220</v>
      </c>
      <c r="AE317" s="163">
        <v>296</v>
      </c>
      <c r="AF317" s="163">
        <v>364</v>
      </c>
      <c r="AG317" s="163">
        <v>482</v>
      </c>
      <c r="AH317" s="163">
        <v>42079000</v>
      </c>
      <c r="AI317" s="163">
        <v>42326000</v>
      </c>
    </row>
    <row r="318" spans="1:35" x14ac:dyDescent="0.2">
      <c r="A318" t="s">
        <v>636</v>
      </c>
      <c r="B318" t="s">
        <v>293</v>
      </c>
      <c r="C318" s="163">
        <v>675108816.66501021</v>
      </c>
      <c r="D318" s="163">
        <v>406717977.66501021</v>
      </c>
      <c r="E318" s="163">
        <v>213011849</v>
      </c>
      <c r="F318" s="163">
        <v>66565301.934040099</v>
      </c>
      <c r="G318" s="163">
        <v>54198101.934040099</v>
      </c>
      <c r="H318" s="163">
        <v>12367200</v>
      </c>
      <c r="I318" s="163">
        <v>115034939.715389</v>
      </c>
      <c r="J318" s="163">
        <v>32802964.248074666</v>
      </c>
      <c r="K318" s="163">
        <v>82231975.467314333</v>
      </c>
      <c r="L318" s="163">
        <v>31411607.423821401</v>
      </c>
      <c r="M318" s="163">
        <v>11512081</v>
      </c>
      <c r="N318" s="163">
        <v>607237</v>
      </c>
      <c r="O318" s="163">
        <v>1072091</v>
      </c>
      <c r="P318" s="163">
        <v>18220199</v>
      </c>
      <c r="Q318" s="163">
        <v>15930079</v>
      </c>
      <c r="R318" s="163">
        <v>39448911</v>
      </c>
      <c r="S318" s="163">
        <v>128055383</v>
      </c>
      <c r="T318" s="163">
        <v>86377</v>
      </c>
      <c r="U318" s="163">
        <v>18489000</v>
      </c>
      <c r="V318" s="163">
        <v>36228</v>
      </c>
      <c r="W318" s="163">
        <v>61769</v>
      </c>
      <c r="X318" s="163">
        <v>33622</v>
      </c>
      <c r="Y318" s="163">
        <v>594</v>
      </c>
      <c r="Z318" s="163">
        <v>2181</v>
      </c>
      <c r="AA318" s="163">
        <v>796</v>
      </c>
      <c r="AB318" s="163">
        <v>37409</v>
      </c>
      <c r="AC318" s="163">
        <v>34828</v>
      </c>
      <c r="AD318" s="163">
        <v>7212</v>
      </c>
      <c r="AE318" s="163">
        <v>869</v>
      </c>
      <c r="AF318" s="163">
        <v>13551</v>
      </c>
      <c r="AG318" s="163">
        <v>2313</v>
      </c>
      <c r="AH318" s="163">
        <v>1400188000</v>
      </c>
      <c r="AI318" s="163">
        <v>1417104000</v>
      </c>
    </row>
    <row r="319" spans="1:35" x14ac:dyDescent="0.2">
      <c r="A319" t="s">
        <v>636</v>
      </c>
      <c r="B319" t="s">
        <v>294</v>
      </c>
      <c r="C319" s="163">
        <v>57779503.300649717</v>
      </c>
      <c r="D319" s="163">
        <v>36036203.300649717</v>
      </c>
      <c r="E319" s="163">
        <v>17814473</v>
      </c>
      <c r="F319" s="163">
        <v>9654015.5175578408</v>
      </c>
      <c r="G319" s="163">
        <v>6384472.3415578408</v>
      </c>
      <c r="H319" s="163">
        <v>3269543.176</v>
      </c>
      <c r="I319" s="163">
        <v>6190852.5288827298</v>
      </c>
      <c r="J319" s="163">
        <v>6190852.5288827298</v>
      </c>
      <c r="K319" s="163">
        <v>0</v>
      </c>
      <c r="L319" s="163">
        <v>1969604.8426155001</v>
      </c>
      <c r="M319" s="163">
        <v>286755</v>
      </c>
      <c r="N319" s="163">
        <v>57234</v>
      </c>
      <c r="O319" s="163">
        <v>94250</v>
      </c>
      <c r="P319" s="163">
        <v>1531366</v>
      </c>
      <c r="Q319" s="163">
        <v>3504155</v>
      </c>
      <c r="R319" s="163">
        <v>424672</v>
      </c>
      <c r="S319" s="163">
        <v>8173378</v>
      </c>
      <c r="T319" s="163">
        <v>8635</v>
      </c>
      <c r="U319" s="163">
        <v>380000</v>
      </c>
      <c r="V319" s="163">
        <v>7633</v>
      </c>
      <c r="W319" s="163">
        <v>2370</v>
      </c>
      <c r="X319" s="163">
        <v>17</v>
      </c>
      <c r="Y319" s="163">
        <v>751</v>
      </c>
      <c r="Z319" s="163">
        <v>529</v>
      </c>
      <c r="AA319" s="163">
        <v>965</v>
      </c>
      <c r="AB319" s="163">
        <v>4799</v>
      </c>
      <c r="AC319" s="163">
        <v>5164</v>
      </c>
      <c r="AD319" s="163">
        <v>1104</v>
      </c>
      <c r="AE319" s="163">
        <v>860</v>
      </c>
      <c r="AF319" s="163">
        <v>1409</v>
      </c>
      <c r="AG319" s="163">
        <v>213</v>
      </c>
      <c r="AH319" s="163">
        <v>103709000</v>
      </c>
      <c r="AI319" s="163">
        <v>104613000</v>
      </c>
    </row>
    <row r="320" spans="1:35" x14ac:dyDescent="0.2">
      <c r="A320" t="s">
        <v>638</v>
      </c>
      <c r="B320" t="s">
        <v>505</v>
      </c>
      <c r="C320" s="163">
        <v>15404639.679551262</v>
      </c>
      <c r="D320" s="163">
        <v>9171879.6795512624</v>
      </c>
      <c r="E320" s="163">
        <v>5066588</v>
      </c>
      <c r="F320" s="163">
        <v>1515355.27181848</v>
      </c>
      <c r="G320" s="163">
        <v>1483243.27181848</v>
      </c>
      <c r="H320" s="163">
        <v>32112</v>
      </c>
      <c r="I320" s="163">
        <v>1488933.0617754899</v>
      </c>
      <c r="J320" s="163">
        <v>1488933.0617754899</v>
      </c>
      <c r="K320" s="163">
        <v>0</v>
      </c>
      <c r="L320" s="163">
        <v>2062299.2414335301</v>
      </c>
      <c r="M320" s="163">
        <v>406441</v>
      </c>
      <c r="N320" s="163">
        <v>13959</v>
      </c>
      <c r="O320" s="163">
        <v>26508</v>
      </c>
      <c r="P320" s="163">
        <v>1615391</v>
      </c>
      <c r="Q320" s="163">
        <v>1035130</v>
      </c>
      <c r="R320" s="163">
        <v>131042</v>
      </c>
      <c r="S320" s="163">
        <v>4191434</v>
      </c>
      <c r="T320" s="163">
        <v>0</v>
      </c>
      <c r="U320" s="163">
        <v>79000</v>
      </c>
      <c r="V320" s="163">
        <v>1310</v>
      </c>
      <c r="W320" s="163">
        <v>504</v>
      </c>
      <c r="X320" s="163">
        <v>530</v>
      </c>
      <c r="Y320" s="163">
        <v>0</v>
      </c>
      <c r="Z320" s="163">
        <v>879</v>
      </c>
      <c r="AA320" s="163">
        <v>87</v>
      </c>
      <c r="AB320" s="163">
        <v>1165</v>
      </c>
      <c r="AC320" s="163">
        <v>1265</v>
      </c>
      <c r="AD320" s="163">
        <v>153</v>
      </c>
      <c r="AE320" s="163">
        <v>0</v>
      </c>
      <c r="AF320" s="163">
        <v>160</v>
      </c>
      <c r="AG320" s="163">
        <v>55</v>
      </c>
      <c r="AH320" s="163">
        <v>26180000</v>
      </c>
      <c r="AI320" s="163">
        <v>26759000</v>
      </c>
    </row>
    <row r="321" spans="1:35" x14ac:dyDescent="0.2">
      <c r="A321" t="s">
        <v>638</v>
      </c>
      <c r="B321" t="s">
        <v>506</v>
      </c>
      <c r="C321" s="163">
        <v>23499489.247164264</v>
      </c>
      <c r="D321" s="163">
        <v>13971668.247164264</v>
      </c>
      <c r="E321" s="163">
        <v>7613732</v>
      </c>
      <c r="F321" s="163">
        <v>2618318.6908201901</v>
      </c>
      <c r="G321" s="163">
        <v>2311134.6908201901</v>
      </c>
      <c r="H321" s="163">
        <v>307184</v>
      </c>
      <c r="I321" s="163">
        <v>2779072.5266552698</v>
      </c>
      <c r="J321" s="163">
        <v>2779072.5266552698</v>
      </c>
      <c r="K321" s="163">
        <v>0</v>
      </c>
      <c r="L321" s="163">
        <v>2216341.2724086</v>
      </c>
      <c r="M321" s="163">
        <v>351125</v>
      </c>
      <c r="N321" s="163">
        <v>40482</v>
      </c>
      <c r="O321" s="163">
        <v>54488</v>
      </c>
      <c r="P321" s="163">
        <v>1770246</v>
      </c>
      <c r="Q321" s="163">
        <v>1736816</v>
      </c>
      <c r="R321" s="163">
        <v>177273</v>
      </c>
      <c r="S321" s="163">
        <v>4244879</v>
      </c>
      <c r="T321" s="163">
        <v>4439</v>
      </c>
      <c r="U321" s="163">
        <v>0</v>
      </c>
      <c r="V321" s="163">
        <v>2822</v>
      </c>
      <c r="W321" s="163">
        <v>1797</v>
      </c>
      <c r="X321" s="163">
        <v>3171</v>
      </c>
      <c r="Y321" s="163">
        <v>300</v>
      </c>
      <c r="Z321" s="163">
        <v>1800</v>
      </c>
      <c r="AA321" s="163">
        <v>204</v>
      </c>
      <c r="AB321" s="163">
        <v>2709</v>
      </c>
      <c r="AC321" s="163">
        <v>895</v>
      </c>
      <c r="AD321" s="163">
        <v>299</v>
      </c>
      <c r="AE321" s="163">
        <v>125</v>
      </c>
      <c r="AF321" s="163">
        <v>288</v>
      </c>
      <c r="AG321" s="163">
        <v>320</v>
      </c>
      <c r="AH321" s="163">
        <v>45056000</v>
      </c>
      <c r="AI321" s="163">
        <v>46557000</v>
      </c>
    </row>
    <row r="322" spans="1:35" x14ac:dyDescent="0.2">
      <c r="A322" t="s">
        <v>629</v>
      </c>
      <c r="B322" t="s">
        <v>469</v>
      </c>
      <c r="C322" s="163">
        <v>41028012.610714629</v>
      </c>
      <c r="D322" s="163">
        <v>25184617.610714629</v>
      </c>
      <c r="E322" s="163">
        <v>12725303</v>
      </c>
      <c r="F322" s="163">
        <v>4629973.5518378001</v>
      </c>
      <c r="G322" s="163">
        <v>4194025.5518378001</v>
      </c>
      <c r="H322" s="163">
        <v>435948</v>
      </c>
      <c r="I322" s="163">
        <v>4327260.2800597101</v>
      </c>
      <c r="J322" s="163">
        <v>4327260.2800597101</v>
      </c>
      <c r="K322" s="163">
        <v>0</v>
      </c>
      <c r="L322" s="163">
        <v>3768069.4584379802</v>
      </c>
      <c r="M322" s="163">
        <v>497124</v>
      </c>
      <c r="N322" s="163">
        <v>16751</v>
      </c>
      <c r="O322" s="163">
        <v>86886</v>
      </c>
      <c r="P322" s="163">
        <v>3167308</v>
      </c>
      <c r="Q322" s="163">
        <v>2847976</v>
      </c>
      <c r="R322" s="163">
        <v>270116</v>
      </c>
      <c r="S322" s="163">
        <v>7290878</v>
      </c>
      <c r="T322" s="163">
        <v>1907</v>
      </c>
      <c r="U322" s="163">
        <v>56000</v>
      </c>
      <c r="V322" s="163">
        <v>4973</v>
      </c>
      <c r="W322" s="163">
        <v>2511</v>
      </c>
      <c r="X322" s="163">
        <v>746</v>
      </c>
      <c r="Y322" s="163">
        <v>79</v>
      </c>
      <c r="Z322" s="163">
        <v>0</v>
      </c>
      <c r="AA322" s="163">
        <v>90</v>
      </c>
      <c r="AB322" s="163">
        <v>3103</v>
      </c>
      <c r="AC322" s="163">
        <v>3015</v>
      </c>
      <c r="AD322" s="163">
        <v>599</v>
      </c>
      <c r="AE322" s="163">
        <v>160</v>
      </c>
      <c r="AF322" s="163">
        <v>525</v>
      </c>
      <c r="AG322" s="163">
        <v>85</v>
      </c>
      <c r="AH322" s="163">
        <v>73944000</v>
      </c>
      <c r="AI322" s="163">
        <v>74584000</v>
      </c>
    </row>
    <row r="323" spans="1:35" x14ac:dyDescent="0.2">
      <c r="A323" t="s">
        <v>637</v>
      </c>
      <c r="B323" t="s">
        <v>175</v>
      </c>
      <c r="C323" s="163">
        <v>56417242.75141982</v>
      </c>
      <c r="D323" s="163">
        <v>28340181.75141982</v>
      </c>
      <c r="E323" s="163">
        <v>24792741</v>
      </c>
      <c r="F323" s="163">
        <v>9311949.7304802593</v>
      </c>
      <c r="G323" s="163">
        <v>6763141.7304802593</v>
      </c>
      <c r="H323" s="163">
        <v>2548808</v>
      </c>
      <c r="I323" s="163">
        <v>5106731.0167684099</v>
      </c>
      <c r="J323" s="163">
        <v>5106731.0167684099</v>
      </c>
      <c r="K323" s="163">
        <v>0</v>
      </c>
      <c r="L323" s="163">
        <v>10374060.0453892</v>
      </c>
      <c r="M323" s="163">
        <v>1406234</v>
      </c>
      <c r="N323" s="163">
        <v>83757</v>
      </c>
      <c r="O323" s="163">
        <v>242988</v>
      </c>
      <c r="P323" s="163">
        <v>8641081</v>
      </c>
      <c r="Q323" s="163">
        <v>2915462</v>
      </c>
      <c r="R323" s="163">
        <v>368858</v>
      </c>
      <c r="S323" s="163">
        <v>12076417</v>
      </c>
      <c r="T323" s="163">
        <v>20256</v>
      </c>
      <c r="U323" s="163">
        <v>370000</v>
      </c>
      <c r="V323" s="163">
        <v>3977</v>
      </c>
      <c r="W323" s="163">
        <v>2761</v>
      </c>
      <c r="X323" s="163">
        <v>0</v>
      </c>
      <c r="Y323" s="163">
        <v>11</v>
      </c>
      <c r="Z323" s="163">
        <v>0</v>
      </c>
      <c r="AA323" s="163">
        <v>89</v>
      </c>
      <c r="AB323" s="163">
        <v>1173</v>
      </c>
      <c r="AC323" s="163">
        <v>2847</v>
      </c>
      <c r="AD323" s="163">
        <v>558</v>
      </c>
      <c r="AE323" s="163">
        <v>133</v>
      </c>
      <c r="AF323" s="163">
        <v>252</v>
      </c>
      <c r="AG323" s="163">
        <v>48</v>
      </c>
      <c r="AH323" s="163">
        <v>106038000</v>
      </c>
      <c r="AI323" s="163">
        <v>103794000</v>
      </c>
    </row>
    <row r="324" spans="1:35" x14ac:dyDescent="0.2">
      <c r="A324" t="s">
        <v>636</v>
      </c>
      <c r="B324" t="s">
        <v>295</v>
      </c>
      <c r="C324" s="163">
        <v>93964198.008249044</v>
      </c>
      <c r="D324" s="163">
        <v>57230712.008249044</v>
      </c>
      <c r="E324" s="163">
        <v>31517612</v>
      </c>
      <c r="F324" s="163">
        <v>15191950.217270499</v>
      </c>
      <c r="G324" s="163">
        <v>13430648.217270499</v>
      </c>
      <c r="H324" s="163">
        <v>1761302</v>
      </c>
      <c r="I324" s="163">
        <v>7653712.51293681</v>
      </c>
      <c r="J324" s="163">
        <v>7653712.51293681</v>
      </c>
      <c r="K324" s="163">
        <v>0</v>
      </c>
      <c r="L324" s="163">
        <v>8671948.9983612895</v>
      </c>
      <c r="M324" s="163">
        <v>1495343</v>
      </c>
      <c r="N324" s="163">
        <v>154950</v>
      </c>
      <c r="O324" s="163">
        <v>257714</v>
      </c>
      <c r="P324" s="163">
        <v>6763942</v>
      </c>
      <c r="Q324" s="163">
        <v>4563588</v>
      </c>
      <c r="R324" s="163">
        <v>652286</v>
      </c>
      <c r="S324" s="163">
        <v>18759300</v>
      </c>
      <c r="T324" s="163">
        <v>6226</v>
      </c>
      <c r="U324" s="163">
        <v>1012000</v>
      </c>
      <c r="V324" s="163">
        <v>6307</v>
      </c>
      <c r="W324" s="163">
        <v>5238</v>
      </c>
      <c r="X324" s="163">
        <v>2219</v>
      </c>
      <c r="Y324" s="163">
        <v>2052</v>
      </c>
      <c r="Z324" s="163">
        <v>110</v>
      </c>
      <c r="AA324" s="163">
        <v>855</v>
      </c>
      <c r="AB324" s="163">
        <v>2948</v>
      </c>
      <c r="AC324" s="163">
        <v>5605</v>
      </c>
      <c r="AD324" s="163">
        <v>1183</v>
      </c>
      <c r="AE324" s="163">
        <v>641</v>
      </c>
      <c r="AF324" s="163">
        <v>1668</v>
      </c>
      <c r="AG324" s="163">
        <v>118</v>
      </c>
      <c r="AH324" s="163">
        <v>165531000</v>
      </c>
      <c r="AI324" s="163">
        <v>162045000</v>
      </c>
    </row>
    <row r="325" spans="1:35" x14ac:dyDescent="0.2">
      <c r="A325" t="s">
        <v>640</v>
      </c>
      <c r="B325" t="s">
        <v>414</v>
      </c>
      <c r="C325" s="163">
        <v>24813212.692415357</v>
      </c>
      <c r="D325" s="163">
        <v>16647217.692415357</v>
      </c>
      <c r="E325" s="163">
        <v>6414696</v>
      </c>
      <c r="F325" s="163">
        <v>2837526.3461663201</v>
      </c>
      <c r="G325" s="163">
        <v>2552694.3461663201</v>
      </c>
      <c r="H325" s="163">
        <v>284832</v>
      </c>
      <c r="I325" s="163">
        <v>2293038.6771962</v>
      </c>
      <c r="J325" s="163">
        <v>2293038.6771962</v>
      </c>
      <c r="K325" s="163">
        <v>0</v>
      </c>
      <c r="L325" s="163">
        <v>1284131.1346108499</v>
      </c>
      <c r="M325" s="163">
        <v>97395</v>
      </c>
      <c r="N325" s="163">
        <v>13959</v>
      </c>
      <c r="O325" s="163">
        <v>27980</v>
      </c>
      <c r="P325" s="163">
        <v>1144797</v>
      </c>
      <c r="Q325" s="163">
        <v>1460559</v>
      </c>
      <c r="R325" s="163">
        <v>290740</v>
      </c>
      <c r="S325" s="163">
        <v>2817708</v>
      </c>
      <c r="T325" s="163">
        <v>579</v>
      </c>
      <c r="U325" s="163">
        <v>62000</v>
      </c>
      <c r="V325" s="163">
        <v>3679</v>
      </c>
      <c r="W325" s="163">
        <v>1542</v>
      </c>
      <c r="X325" s="163">
        <v>2631</v>
      </c>
      <c r="Y325" s="163">
        <v>165</v>
      </c>
      <c r="Z325" s="163">
        <v>5518</v>
      </c>
      <c r="AA325" s="163">
        <v>1859</v>
      </c>
      <c r="AB325" s="163">
        <v>2031</v>
      </c>
      <c r="AC325" s="163">
        <v>2963</v>
      </c>
      <c r="AD325" s="163">
        <v>412</v>
      </c>
      <c r="AE325" s="163">
        <v>431</v>
      </c>
      <c r="AF325" s="163">
        <v>900</v>
      </c>
      <c r="AG325" s="163">
        <v>175</v>
      </c>
      <c r="AH325" s="163">
        <v>60054000</v>
      </c>
      <c r="AI325" s="163">
        <v>63198000</v>
      </c>
    </row>
    <row r="326" spans="1:35" x14ac:dyDescent="0.2">
      <c r="A326" t="s">
        <v>629</v>
      </c>
      <c r="B326" t="s">
        <v>471</v>
      </c>
      <c r="C326" s="163">
        <v>54573553.61252515</v>
      </c>
      <c r="D326" s="163">
        <v>33186289.61252515</v>
      </c>
      <c r="E326" s="163">
        <v>17612848</v>
      </c>
      <c r="F326" s="163">
        <v>7689984.2999899099</v>
      </c>
      <c r="G326" s="163">
        <v>6376342.2999899099</v>
      </c>
      <c r="H326" s="163">
        <v>1313642</v>
      </c>
      <c r="I326" s="163">
        <v>5723402.5745533202</v>
      </c>
      <c r="J326" s="163">
        <v>5723402.5745533202</v>
      </c>
      <c r="K326" s="163">
        <v>0</v>
      </c>
      <c r="L326" s="163">
        <v>4199460.9340120098</v>
      </c>
      <c r="M326" s="163">
        <v>181294</v>
      </c>
      <c r="N326" s="163">
        <v>43274</v>
      </c>
      <c r="O326" s="163">
        <v>151683</v>
      </c>
      <c r="P326" s="163">
        <v>3823209</v>
      </c>
      <c r="Q326" s="163">
        <v>3431723</v>
      </c>
      <c r="R326" s="163">
        <v>342693</v>
      </c>
      <c r="S326" s="163">
        <v>8035066</v>
      </c>
      <c r="T326" s="163">
        <v>2977</v>
      </c>
      <c r="U326" s="163">
        <v>66000</v>
      </c>
      <c r="V326" s="163">
        <v>5057</v>
      </c>
      <c r="W326" s="163">
        <v>4158</v>
      </c>
      <c r="X326" s="163">
        <v>1311</v>
      </c>
      <c r="Y326" s="163">
        <v>0</v>
      </c>
      <c r="Z326" s="163">
        <v>210</v>
      </c>
      <c r="AA326" s="163">
        <v>487</v>
      </c>
      <c r="AB326" s="163">
        <v>2638</v>
      </c>
      <c r="AC326" s="163">
        <v>3317</v>
      </c>
      <c r="AD326" s="163">
        <v>778</v>
      </c>
      <c r="AE326" s="163">
        <v>148</v>
      </c>
      <c r="AF326" s="163">
        <v>839</v>
      </c>
      <c r="AG326" s="163">
        <v>70</v>
      </c>
      <c r="AH326" s="163">
        <v>106394000</v>
      </c>
      <c r="AI326" s="163">
        <v>99628000</v>
      </c>
    </row>
    <row r="327" spans="1:35" x14ac:dyDescent="0.2">
      <c r="A327" t="s">
        <v>630</v>
      </c>
      <c r="B327" t="s">
        <v>339</v>
      </c>
      <c r="C327" s="163">
        <v>91515107.418237925</v>
      </c>
      <c r="D327" s="163">
        <v>56405880.418237925</v>
      </c>
      <c r="E327" s="163">
        <v>29128614</v>
      </c>
      <c r="F327" s="163">
        <v>14081605.5098456</v>
      </c>
      <c r="G327" s="163">
        <v>11658450.5098456</v>
      </c>
      <c r="H327" s="163">
        <v>2423155</v>
      </c>
      <c r="I327" s="163">
        <v>8261205.01466031</v>
      </c>
      <c r="J327" s="163">
        <v>8261205.01466031</v>
      </c>
      <c r="K327" s="163">
        <v>0</v>
      </c>
      <c r="L327" s="163">
        <v>6785803.1981480401</v>
      </c>
      <c r="M327" s="163">
        <v>1274486</v>
      </c>
      <c r="N327" s="163">
        <v>185661</v>
      </c>
      <c r="O327" s="163">
        <v>340183</v>
      </c>
      <c r="P327" s="163">
        <v>4985473</v>
      </c>
      <c r="Q327" s="163">
        <v>5281263</v>
      </c>
      <c r="R327" s="163">
        <v>699350</v>
      </c>
      <c r="S327" s="163">
        <v>18458024</v>
      </c>
      <c r="T327" s="163">
        <v>2952</v>
      </c>
      <c r="U327" s="163">
        <v>815000</v>
      </c>
      <c r="V327" s="163">
        <v>7867</v>
      </c>
      <c r="W327" s="163">
        <v>7117</v>
      </c>
      <c r="X327" s="163">
        <v>355</v>
      </c>
      <c r="Y327" s="163">
        <v>2283</v>
      </c>
      <c r="Z327" s="163">
        <v>380</v>
      </c>
      <c r="AA327" s="163">
        <v>408</v>
      </c>
      <c r="AB327" s="163">
        <v>5655</v>
      </c>
      <c r="AC327" s="163">
        <v>9259</v>
      </c>
      <c r="AD327" s="163">
        <v>1242</v>
      </c>
      <c r="AE327" s="163">
        <v>291</v>
      </c>
      <c r="AF327" s="163">
        <v>1426</v>
      </c>
      <c r="AG327" s="163">
        <v>104</v>
      </c>
      <c r="AH327" s="163">
        <v>166890000</v>
      </c>
      <c r="AI327" s="163">
        <v>160066000</v>
      </c>
    </row>
    <row r="328" spans="1:35" x14ac:dyDescent="0.2">
      <c r="A328" t="s">
        <v>638</v>
      </c>
      <c r="B328" t="s">
        <v>507</v>
      </c>
      <c r="C328" s="163">
        <v>220566990.55180165</v>
      </c>
      <c r="D328" s="163">
        <v>98487523.551801652</v>
      </c>
      <c r="E328" s="163">
        <v>98536311</v>
      </c>
      <c r="F328" s="163">
        <v>21924353.8623408</v>
      </c>
      <c r="G328" s="163">
        <v>18327014.8623408</v>
      </c>
      <c r="H328" s="163">
        <v>3597339</v>
      </c>
      <c r="I328" s="163">
        <v>58191512.900895998</v>
      </c>
      <c r="J328" s="163">
        <v>15251060.862927571</v>
      </c>
      <c r="K328" s="163">
        <v>42940452.037968427</v>
      </c>
      <c r="L328" s="163">
        <v>18420444.217668202</v>
      </c>
      <c r="M328" s="163">
        <v>4229754</v>
      </c>
      <c r="N328" s="163">
        <v>180077</v>
      </c>
      <c r="O328" s="163">
        <v>432960</v>
      </c>
      <c r="P328" s="163">
        <v>13577653</v>
      </c>
      <c r="Q328" s="163">
        <v>9635662</v>
      </c>
      <c r="R328" s="163">
        <v>13907494</v>
      </c>
      <c r="S328" s="163">
        <v>44934567</v>
      </c>
      <c r="T328" s="163">
        <v>12118</v>
      </c>
      <c r="U328" s="163">
        <v>2964000</v>
      </c>
      <c r="V328" s="163">
        <v>18108</v>
      </c>
      <c r="W328" s="163">
        <v>17907</v>
      </c>
      <c r="X328" s="163">
        <v>6838</v>
      </c>
      <c r="Y328" s="163">
        <v>0</v>
      </c>
      <c r="Z328" s="163">
        <v>1390</v>
      </c>
      <c r="AA328" s="163">
        <v>1315</v>
      </c>
      <c r="AB328" s="163">
        <v>8648</v>
      </c>
      <c r="AC328" s="163">
        <v>7356</v>
      </c>
      <c r="AD328" s="163">
        <v>2693</v>
      </c>
      <c r="AE328" s="163">
        <v>476</v>
      </c>
      <c r="AF328" s="163">
        <v>3100</v>
      </c>
      <c r="AG328" s="163">
        <v>882</v>
      </c>
      <c r="AH328" s="163">
        <v>381172000</v>
      </c>
      <c r="AI328" s="163">
        <v>384259000</v>
      </c>
    </row>
    <row r="329" spans="1:35" x14ac:dyDescent="0.2">
      <c r="A329" t="s">
        <v>638</v>
      </c>
      <c r="B329" t="s">
        <v>508</v>
      </c>
      <c r="C329" s="163">
        <v>69055894.01929298</v>
      </c>
      <c r="D329" s="163">
        <v>38481173.01929298</v>
      </c>
      <c r="E329" s="163">
        <v>26591551</v>
      </c>
      <c r="F329" s="163">
        <v>8876583.8291795906</v>
      </c>
      <c r="G329" s="163">
        <v>7853836.8291795906</v>
      </c>
      <c r="H329" s="163">
        <v>1022747</v>
      </c>
      <c r="I329" s="163">
        <v>6075752.2060451796</v>
      </c>
      <c r="J329" s="163">
        <v>6075752.2060451796</v>
      </c>
      <c r="K329" s="163">
        <v>0</v>
      </c>
      <c r="L329" s="163">
        <v>11639215.323742401</v>
      </c>
      <c r="M329" s="163">
        <v>1032112</v>
      </c>
      <c r="N329" s="163">
        <v>75381</v>
      </c>
      <c r="O329" s="163">
        <v>241515</v>
      </c>
      <c r="P329" s="163">
        <v>10290207</v>
      </c>
      <c r="Q329" s="163">
        <v>3464366</v>
      </c>
      <c r="R329" s="163">
        <v>518804</v>
      </c>
      <c r="S329" s="163">
        <v>13645771</v>
      </c>
      <c r="T329" s="163">
        <v>1742</v>
      </c>
      <c r="U329" s="163">
        <v>598000</v>
      </c>
      <c r="V329" s="163">
        <v>5999</v>
      </c>
      <c r="W329" s="163">
        <v>7717</v>
      </c>
      <c r="X329" s="163">
        <v>401</v>
      </c>
      <c r="Y329" s="163">
        <v>0</v>
      </c>
      <c r="Z329" s="163">
        <v>314</v>
      </c>
      <c r="AA329" s="163">
        <v>215</v>
      </c>
      <c r="AB329" s="163">
        <v>4156</v>
      </c>
      <c r="AC329" s="163">
        <v>3012</v>
      </c>
      <c r="AD329" s="163">
        <v>766</v>
      </c>
      <c r="AE329" s="163">
        <v>29</v>
      </c>
      <c r="AF329" s="163">
        <v>1037</v>
      </c>
      <c r="AG329" s="163">
        <v>496</v>
      </c>
      <c r="AH329" s="163">
        <v>107149000</v>
      </c>
      <c r="AI329" s="163">
        <v>106752000</v>
      </c>
    </row>
    <row r="330" spans="1:35" x14ac:dyDescent="0.2">
      <c r="A330" t="s">
        <v>636</v>
      </c>
      <c r="B330" t="s">
        <v>296</v>
      </c>
      <c r="C330" s="163">
        <v>23913188.400434177</v>
      </c>
      <c r="D330" s="163">
        <v>16057766.400434177</v>
      </c>
      <c r="E330" s="163">
        <v>6299829</v>
      </c>
      <c r="F330" s="163">
        <v>3257882.0350784399</v>
      </c>
      <c r="G330" s="163">
        <v>3047258.0350784399</v>
      </c>
      <c r="H330" s="163">
        <v>210624</v>
      </c>
      <c r="I330" s="163">
        <v>2260481.4347666702</v>
      </c>
      <c r="J330" s="163">
        <v>2260481.4347666702</v>
      </c>
      <c r="K330" s="163">
        <v>0</v>
      </c>
      <c r="L330" s="163">
        <v>781465.90284026903</v>
      </c>
      <c r="M330" s="163">
        <v>149665</v>
      </c>
      <c r="N330" s="163">
        <v>20939</v>
      </c>
      <c r="O330" s="163">
        <v>39762</v>
      </c>
      <c r="P330" s="163">
        <v>571101</v>
      </c>
      <c r="Q330" s="163">
        <v>1310708</v>
      </c>
      <c r="R330" s="163">
        <v>244885</v>
      </c>
      <c r="S330" s="163">
        <v>3557762</v>
      </c>
      <c r="T330" s="163">
        <v>940</v>
      </c>
      <c r="U330" s="163">
        <v>242000</v>
      </c>
      <c r="V330" s="163">
        <v>2090</v>
      </c>
      <c r="W330" s="163">
        <v>2080</v>
      </c>
      <c r="X330" s="163">
        <v>20</v>
      </c>
      <c r="Y330" s="163">
        <v>12</v>
      </c>
      <c r="Z330" s="163">
        <v>124</v>
      </c>
      <c r="AA330" s="163">
        <v>143</v>
      </c>
      <c r="AB330" s="163">
        <v>2180</v>
      </c>
      <c r="AC330" s="163">
        <v>1825</v>
      </c>
      <c r="AD330" s="163">
        <v>349</v>
      </c>
      <c r="AE330" s="163">
        <v>221</v>
      </c>
      <c r="AF330" s="163">
        <v>1085</v>
      </c>
      <c r="AG330" s="163">
        <v>96</v>
      </c>
      <c r="AH330" s="163">
        <v>46837000</v>
      </c>
      <c r="AI330" s="163">
        <v>44951000</v>
      </c>
    </row>
    <row r="331" spans="1:35" x14ac:dyDescent="0.2">
      <c r="A331" t="s">
        <v>633</v>
      </c>
      <c r="B331" t="s">
        <v>392</v>
      </c>
      <c r="C331" s="163">
        <v>140770668.46080416</v>
      </c>
      <c r="D331" s="163">
        <v>76783512.460804164</v>
      </c>
      <c r="E331" s="163">
        <v>52342737</v>
      </c>
      <c r="F331" s="163">
        <v>14957863.709418001</v>
      </c>
      <c r="G331" s="163">
        <v>13174432.709418001</v>
      </c>
      <c r="H331" s="163">
        <v>1783431</v>
      </c>
      <c r="I331" s="163">
        <v>25449058.6091576</v>
      </c>
      <c r="J331" s="163">
        <v>9355105.1835305244</v>
      </c>
      <c r="K331" s="163">
        <v>16093953.425627075</v>
      </c>
      <c r="L331" s="163">
        <v>11935814.605696101</v>
      </c>
      <c r="M331" s="163">
        <v>3378471</v>
      </c>
      <c r="N331" s="163">
        <v>177285</v>
      </c>
      <c r="O331" s="163">
        <v>310730</v>
      </c>
      <c r="P331" s="163">
        <v>8069328</v>
      </c>
      <c r="Q331" s="163">
        <v>6677264</v>
      </c>
      <c r="R331" s="163">
        <v>4967155</v>
      </c>
      <c r="S331" s="163">
        <v>33627242</v>
      </c>
      <c r="T331" s="163">
        <v>1919</v>
      </c>
      <c r="U331" s="163">
        <v>2681000</v>
      </c>
      <c r="V331" s="163">
        <v>9167</v>
      </c>
      <c r="W331" s="163">
        <v>7451</v>
      </c>
      <c r="X331" s="163">
        <v>2052</v>
      </c>
      <c r="Y331" s="163">
        <v>1770</v>
      </c>
      <c r="Z331" s="163">
        <v>266</v>
      </c>
      <c r="AA331" s="163">
        <v>248</v>
      </c>
      <c r="AB331" s="163">
        <v>5959</v>
      </c>
      <c r="AC331" s="163">
        <v>9729</v>
      </c>
      <c r="AD331" s="163">
        <v>1220</v>
      </c>
      <c r="AE331" s="163">
        <v>786</v>
      </c>
      <c r="AF331" s="163">
        <v>1100</v>
      </c>
      <c r="AG331" s="163">
        <v>1360</v>
      </c>
      <c r="AH331" s="163">
        <v>249312000</v>
      </c>
      <c r="AI331" s="163">
        <v>250686000</v>
      </c>
    </row>
    <row r="332" spans="1:35" x14ac:dyDescent="0.2">
      <c r="A332" t="s">
        <v>632</v>
      </c>
      <c r="B332" t="s">
        <v>197</v>
      </c>
      <c r="C332" s="163">
        <v>2824728.087127707</v>
      </c>
      <c r="D332" s="163">
        <v>2422646.087127707</v>
      </c>
      <c r="E332" s="163">
        <v>289816</v>
      </c>
      <c r="F332" s="163">
        <v>156382.953794687</v>
      </c>
      <c r="G332" s="163">
        <v>155510.953794687</v>
      </c>
      <c r="H332" s="163">
        <v>872</v>
      </c>
      <c r="I332" s="163">
        <v>130571.015680718</v>
      </c>
      <c r="J332" s="163">
        <v>130571.015680718</v>
      </c>
      <c r="K332" s="163">
        <v>0</v>
      </c>
      <c r="L332" s="163">
        <v>2862.5300483569299</v>
      </c>
      <c r="M332" s="163">
        <v>2863</v>
      </c>
      <c r="N332" s="163">
        <v>0</v>
      </c>
      <c r="O332" s="163">
        <v>0</v>
      </c>
      <c r="P332" s="163">
        <v>0</v>
      </c>
      <c r="Q332" s="163">
        <v>85967</v>
      </c>
      <c r="R332" s="163">
        <v>26299</v>
      </c>
      <c r="S332" s="163">
        <v>77829</v>
      </c>
      <c r="T332" s="163">
        <v>0</v>
      </c>
      <c r="U332" s="163">
        <v>0</v>
      </c>
      <c r="V332" s="163">
        <v>256</v>
      </c>
      <c r="W332" s="163">
        <v>224</v>
      </c>
      <c r="X332" s="163">
        <v>0</v>
      </c>
      <c r="Y332" s="163">
        <v>41</v>
      </c>
      <c r="Z332" s="163">
        <v>1404</v>
      </c>
      <c r="AA332" s="163">
        <v>134</v>
      </c>
      <c r="AB332" s="163">
        <v>188</v>
      </c>
      <c r="AC332" s="163">
        <v>462</v>
      </c>
      <c r="AD332" s="163">
        <v>96</v>
      </c>
      <c r="AE332" s="163">
        <v>15</v>
      </c>
      <c r="AF332" s="163">
        <v>52</v>
      </c>
      <c r="AG332" s="163">
        <v>0</v>
      </c>
      <c r="AH332" s="163">
        <v>7721000</v>
      </c>
      <c r="AI332" s="163">
        <v>7873000</v>
      </c>
    </row>
    <row r="333" spans="1:35" x14ac:dyDescent="0.2">
      <c r="A333" t="s">
        <v>640</v>
      </c>
      <c r="B333" t="s">
        <v>415</v>
      </c>
      <c r="C333" s="163">
        <v>127456321.33322622</v>
      </c>
      <c r="D333" s="163">
        <v>47397708.333226219</v>
      </c>
      <c r="E333" s="163">
        <v>66379588</v>
      </c>
      <c r="F333" s="163">
        <v>9029451.0196629297</v>
      </c>
      <c r="G333" s="163">
        <v>8166895.0196629297</v>
      </c>
      <c r="H333" s="163">
        <v>862556</v>
      </c>
      <c r="I333" s="163">
        <v>47185164.292881198</v>
      </c>
      <c r="J333" s="163">
        <v>6105278.9130827338</v>
      </c>
      <c r="K333" s="163">
        <v>41079885.379798464</v>
      </c>
      <c r="L333" s="163">
        <v>10164973.127197901</v>
      </c>
      <c r="M333" s="163">
        <v>2819551</v>
      </c>
      <c r="N333" s="163">
        <v>55838</v>
      </c>
      <c r="O333" s="163">
        <v>178191</v>
      </c>
      <c r="P333" s="163">
        <v>7111393</v>
      </c>
      <c r="Q333" s="163">
        <v>4290702</v>
      </c>
      <c r="R333" s="163">
        <v>9388323</v>
      </c>
      <c r="S333" s="163">
        <v>21925437</v>
      </c>
      <c r="T333" s="163">
        <v>10154</v>
      </c>
      <c r="U333" s="163">
        <v>701000</v>
      </c>
      <c r="V333" s="163">
        <v>5161</v>
      </c>
      <c r="W333" s="163">
        <v>7377</v>
      </c>
      <c r="X333" s="163">
        <v>2930</v>
      </c>
      <c r="Y333" s="163">
        <v>479</v>
      </c>
      <c r="Z333" s="163">
        <v>330</v>
      </c>
      <c r="AA333" s="163">
        <v>630</v>
      </c>
      <c r="AB333" s="163">
        <v>6951</v>
      </c>
      <c r="AC333" s="163">
        <v>6801</v>
      </c>
      <c r="AD333" s="163">
        <v>751</v>
      </c>
      <c r="AE333" s="163">
        <v>427</v>
      </c>
      <c r="AF333" s="163">
        <v>828</v>
      </c>
      <c r="AG333" s="163">
        <v>272</v>
      </c>
      <c r="AH333" s="163">
        <v>205882000</v>
      </c>
      <c r="AI333" s="163">
        <v>210782000</v>
      </c>
    </row>
    <row r="334" spans="1:35" x14ac:dyDescent="0.2">
      <c r="A334" t="s">
        <v>638</v>
      </c>
      <c r="B334" t="s">
        <v>509</v>
      </c>
      <c r="C334" s="163">
        <v>15721061.005166968</v>
      </c>
      <c r="D334" s="163">
        <v>9083711.0051669683</v>
      </c>
      <c r="E334" s="163">
        <v>5470101</v>
      </c>
      <c r="F334" s="163">
        <v>1985822.5777881599</v>
      </c>
      <c r="G334" s="163">
        <v>1752902.5777881599</v>
      </c>
      <c r="H334" s="163">
        <v>232920</v>
      </c>
      <c r="I334" s="163">
        <v>1727407.2817176201</v>
      </c>
      <c r="J334" s="163">
        <v>1727407.2817176201</v>
      </c>
      <c r="K334" s="163">
        <v>0</v>
      </c>
      <c r="L334" s="163">
        <v>1756870.8463598101</v>
      </c>
      <c r="M334" s="163">
        <v>74794</v>
      </c>
      <c r="N334" s="163">
        <v>12564</v>
      </c>
      <c r="O334" s="163">
        <v>20617</v>
      </c>
      <c r="P334" s="163">
        <v>1648896</v>
      </c>
      <c r="Q334" s="163">
        <v>1052821</v>
      </c>
      <c r="R334" s="163">
        <v>114428</v>
      </c>
      <c r="S334" s="163">
        <v>1773358</v>
      </c>
      <c r="T334" s="163">
        <v>960</v>
      </c>
      <c r="U334" s="163">
        <v>0</v>
      </c>
      <c r="V334" s="163">
        <v>1727</v>
      </c>
      <c r="W334" s="163">
        <v>368</v>
      </c>
      <c r="X334" s="163">
        <v>3</v>
      </c>
      <c r="Y334" s="163">
        <v>0</v>
      </c>
      <c r="Z334" s="163">
        <v>29</v>
      </c>
      <c r="AA334" s="163">
        <v>72</v>
      </c>
      <c r="AB334" s="163">
        <v>1450</v>
      </c>
      <c r="AC334" s="163">
        <v>1100</v>
      </c>
      <c r="AD334" s="163">
        <v>272</v>
      </c>
      <c r="AE334" s="163">
        <v>24</v>
      </c>
      <c r="AF334" s="163">
        <v>140</v>
      </c>
      <c r="AG334" s="163">
        <v>45</v>
      </c>
      <c r="AH334" s="163">
        <v>24318000</v>
      </c>
      <c r="AI334" s="163">
        <v>25191000</v>
      </c>
    </row>
    <row r="335" spans="1:35" x14ac:dyDescent="0.2">
      <c r="A335" t="s">
        <v>633</v>
      </c>
      <c r="B335" t="s">
        <v>393</v>
      </c>
      <c r="C335" s="163">
        <v>26523189.30078296</v>
      </c>
      <c r="D335" s="163">
        <v>18215465.30078296</v>
      </c>
      <c r="E335" s="163">
        <v>6616821</v>
      </c>
      <c r="F335" s="163">
        <v>3915721.7316752202</v>
      </c>
      <c r="G335" s="163">
        <v>3621144.7316752202</v>
      </c>
      <c r="H335" s="163">
        <v>294577</v>
      </c>
      <c r="I335" s="163">
        <v>2419170.6817001998</v>
      </c>
      <c r="J335" s="163">
        <v>2419170.6817001998</v>
      </c>
      <c r="K335" s="163">
        <v>0</v>
      </c>
      <c r="L335" s="163">
        <v>281928.992331154</v>
      </c>
      <c r="M335" s="163">
        <v>176573</v>
      </c>
      <c r="N335" s="163">
        <v>39087</v>
      </c>
      <c r="O335" s="163">
        <v>66269</v>
      </c>
      <c r="P335" s="163">
        <v>0</v>
      </c>
      <c r="Q335" s="163">
        <v>1558600</v>
      </c>
      <c r="R335" s="163">
        <v>132303</v>
      </c>
      <c r="S335" s="163">
        <v>4441322</v>
      </c>
      <c r="T335" s="163">
        <v>5629</v>
      </c>
      <c r="U335" s="163">
        <v>0</v>
      </c>
      <c r="V335" s="163">
        <v>5563</v>
      </c>
      <c r="W335" s="163">
        <v>983</v>
      </c>
      <c r="X335" s="163">
        <v>12</v>
      </c>
      <c r="Y335" s="163">
        <v>1099</v>
      </c>
      <c r="Z335" s="163">
        <v>109</v>
      </c>
      <c r="AA335" s="163">
        <v>213</v>
      </c>
      <c r="AB335" s="163">
        <v>2346</v>
      </c>
      <c r="AC335" s="163">
        <v>3158</v>
      </c>
      <c r="AD335" s="163">
        <v>410</v>
      </c>
      <c r="AE335" s="163">
        <v>304</v>
      </c>
      <c r="AF335" s="163">
        <v>564</v>
      </c>
      <c r="AG335" s="163">
        <v>58</v>
      </c>
      <c r="AH335" s="163">
        <v>49297000</v>
      </c>
      <c r="AI335" s="163">
        <v>50182000</v>
      </c>
    </row>
    <row r="336" spans="1:35" x14ac:dyDescent="0.2">
      <c r="A336" t="s">
        <v>631</v>
      </c>
      <c r="B336" t="s">
        <v>267</v>
      </c>
      <c r="C336" s="163">
        <v>33600928.860436514</v>
      </c>
      <c r="D336" s="163">
        <v>18669718.860436514</v>
      </c>
      <c r="E336" s="163">
        <v>12761498</v>
      </c>
      <c r="F336" s="163">
        <v>7430033.1838423796</v>
      </c>
      <c r="G336" s="163">
        <v>3555729.1918423795</v>
      </c>
      <c r="H336" s="163">
        <v>3874303.9920000001</v>
      </c>
      <c r="I336" s="163">
        <v>3328066.3791127</v>
      </c>
      <c r="J336" s="163">
        <v>3328066.3791127</v>
      </c>
      <c r="K336" s="163">
        <v>0</v>
      </c>
      <c r="L336" s="163">
        <v>2003398.3439253401</v>
      </c>
      <c r="M336" s="163">
        <v>130652</v>
      </c>
      <c r="N336" s="163">
        <v>37691</v>
      </c>
      <c r="O336" s="163">
        <v>83941</v>
      </c>
      <c r="P336" s="163">
        <v>1751115</v>
      </c>
      <c r="Q336" s="163">
        <v>1973610</v>
      </c>
      <c r="R336" s="163">
        <v>196102</v>
      </c>
      <c r="S336" s="163">
        <v>3593169</v>
      </c>
      <c r="T336" s="163">
        <v>781</v>
      </c>
      <c r="U336" s="163">
        <v>49000</v>
      </c>
      <c r="V336" s="163">
        <v>3035</v>
      </c>
      <c r="W336" s="163">
        <v>1911</v>
      </c>
      <c r="X336" s="163">
        <v>0</v>
      </c>
      <c r="Y336" s="163">
        <v>1710</v>
      </c>
      <c r="Z336" s="163">
        <v>158</v>
      </c>
      <c r="AA336" s="163">
        <v>110</v>
      </c>
      <c r="AB336" s="163">
        <v>2809</v>
      </c>
      <c r="AC336" s="163">
        <v>1202</v>
      </c>
      <c r="AD336" s="163">
        <v>391</v>
      </c>
      <c r="AE336" s="163">
        <v>199</v>
      </c>
      <c r="AF336" s="163">
        <v>987</v>
      </c>
      <c r="AG336" s="163">
        <v>75</v>
      </c>
      <c r="AH336" s="163">
        <v>58002000</v>
      </c>
      <c r="AI336" s="163">
        <v>56948000</v>
      </c>
    </row>
    <row r="337" spans="1:35" x14ac:dyDescent="0.2">
      <c r="A337" t="s">
        <v>629</v>
      </c>
      <c r="B337" t="s">
        <v>472</v>
      </c>
      <c r="C337" s="163">
        <v>33636542.878839165</v>
      </c>
      <c r="D337" s="163">
        <v>19558974.878839165</v>
      </c>
      <c r="E337" s="163">
        <v>12052216</v>
      </c>
      <c r="F337" s="163">
        <v>4151688.6287579699</v>
      </c>
      <c r="G337" s="163">
        <v>3919344.6287579699</v>
      </c>
      <c r="H337" s="163">
        <v>232344</v>
      </c>
      <c r="I337" s="163">
        <v>3397174.9098694599</v>
      </c>
      <c r="J337" s="163">
        <v>3397174.9098694599</v>
      </c>
      <c r="K337" s="163">
        <v>0</v>
      </c>
      <c r="L337" s="163">
        <v>4503352.5129024098</v>
      </c>
      <c r="M337" s="163">
        <v>143669</v>
      </c>
      <c r="N337" s="163">
        <v>82361</v>
      </c>
      <c r="O337" s="163">
        <v>189972</v>
      </c>
      <c r="P337" s="163">
        <v>4087351</v>
      </c>
      <c r="Q337" s="163">
        <v>1860586</v>
      </c>
      <c r="R337" s="163">
        <v>164766</v>
      </c>
      <c r="S337" s="163">
        <v>4352156</v>
      </c>
      <c r="T337" s="163">
        <v>12604</v>
      </c>
      <c r="U337" s="163">
        <v>75000</v>
      </c>
      <c r="V337" s="163">
        <v>4897</v>
      </c>
      <c r="W337" s="163">
        <v>3062</v>
      </c>
      <c r="X337" s="163">
        <v>0</v>
      </c>
      <c r="Y337" s="163">
        <v>0</v>
      </c>
      <c r="Z337" s="163">
        <v>237</v>
      </c>
      <c r="AA337" s="163">
        <v>50</v>
      </c>
      <c r="AB337" s="163">
        <v>3722</v>
      </c>
      <c r="AC337" s="163">
        <v>2279</v>
      </c>
      <c r="AD337" s="163">
        <v>601</v>
      </c>
      <c r="AE337" s="163">
        <v>13</v>
      </c>
      <c r="AF337" s="163">
        <v>800</v>
      </c>
      <c r="AG337" s="163">
        <v>39</v>
      </c>
      <c r="AH337" s="163">
        <v>63051000</v>
      </c>
      <c r="AI337" s="163">
        <v>59383000</v>
      </c>
    </row>
    <row r="338" spans="1:35" x14ac:dyDescent="0.2">
      <c r="A338" t="s">
        <v>632</v>
      </c>
      <c r="B338" s="249" t="s">
        <v>820</v>
      </c>
      <c r="C338" s="163">
        <v>75166014.667799026</v>
      </c>
      <c r="D338" s="163">
        <v>46040388.667799026</v>
      </c>
      <c r="E338" s="163">
        <v>24664846</v>
      </c>
      <c r="F338" s="163">
        <v>10793875.669657834</v>
      </c>
      <c r="G338" s="163">
        <v>9330223.1896578334</v>
      </c>
      <c r="H338" s="163">
        <v>1463652.48</v>
      </c>
      <c r="I338" s="163">
        <v>6666985.214166427</v>
      </c>
      <c r="J338" s="163">
        <v>6666985.214166427</v>
      </c>
      <c r="K338" s="163">
        <v>0</v>
      </c>
      <c r="L338" s="163">
        <v>7243809.5924905222</v>
      </c>
      <c r="M338" s="163">
        <v>1406303.36</v>
      </c>
      <c r="N338" s="163">
        <v>104807.67999999999</v>
      </c>
      <c r="O338" s="163">
        <v>147500.96</v>
      </c>
      <c r="P338" s="163">
        <v>5585197.96</v>
      </c>
      <c r="Q338" s="163">
        <v>3852902</v>
      </c>
      <c r="R338" s="163">
        <v>607878</v>
      </c>
      <c r="S338" s="163">
        <v>15692587</v>
      </c>
      <c r="T338" s="163">
        <v>10272</v>
      </c>
      <c r="U338" s="163">
        <v>211000</v>
      </c>
      <c r="V338" s="163" t="s">
        <v>844</v>
      </c>
      <c r="W338" s="163" t="s">
        <v>844</v>
      </c>
      <c r="X338" s="163" t="s">
        <v>844</v>
      </c>
      <c r="Y338" s="163" t="s">
        <v>844</v>
      </c>
      <c r="Z338" s="163" t="s">
        <v>844</v>
      </c>
      <c r="AA338" s="163" t="s">
        <v>844</v>
      </c>
      <c r="AB338" s="163" t="s">
        <v>844</v>
      </c>
      <c r="AC338" s="163" t="s">
        <v>844</v>
      </c>
      <c r="AD338" s="163" t="s">
        <v>844</v>
      </c>
      <c r="AE338" s="163" t="s">
        <v>844</v>
      </c>
      <c r="AF338" s="163" t="s">
        <v>844</v>
      </c>
      <c r="AG338" s="163" t="s">
        <v>844</v>
      </c>
      <c r="AH338" s="163"/>
      <c r="AI338" s="163"/>
    </row>
    <row r="339" spans="1:35" x14ac:dyDescent="0.2">
      <c r="A339" t="s">
        <v>629</v>
      </c>
      <c r="B339" s="250" t="s">
        <v>473</v>
      </c>
      <c r="C339" s="163">
        <v>17677641.501370028</v>
      </c>
      <c r="D339" s="163">
        <v>11194224.501370028</v>
      </c>
      <c r="E339" s="163">
        <v>5246725</v>
      </c>
      <c r="F339" s="163">
        <v>2269754.7458647802</v>
      </c>
      <c r="G339" s="163">
        <v>1840700.7458647802</v>
      </c>
      <c r="H339" s="163">
        <v>429054</v>
      </c>
      <c r="I339" s="163">
        <v>1766585.42727075</v>
      </c>
      <c r="J339" s="163">
        <v>1766585.42727075</v>
      </c>
      <c r="K339" s="163">
        <v>0</v>
      </c>
      <c r="L339" s="163">
        <v>1210385.0934923601</v>
      </c>
      <c r="M339" s="163">
        <v>54303</v>
      </c>
      <c r="N339" s="163">
        <v>15355</v>
      </c>
      <c r="O339" s="163">
        <v>25035</v>
      </c>
      <c r="P339" s="163">
        <v>1115692</v>
      </c>
      <c r="Q339" s="163">
        <v>1105358</v>
      </c>
      <c r="R339" s="163">
        <v>131334</v>
      </c>
      <c r="S339" s="163">
        <v>2500983</v>
      </c>
      <c r="T339" s="163">
        <v>1975</v>
      </c>
      <c r="U339" s="163">
        <v>0</v>
      </c>
      <c r="V339" s="163">
        <v>2706</v>
      </c>
      <c r="W339" s="163">
        <v>589</v>
      </c>
      <c r="X339" s="163">
        <v>0</v>
      </c>
      <c r="Y339" s="163">
        <v>2</v>
      </c>
      <c r="Z339" s="163">
        <v>129</v>
      </c>
      <c r="AA339" s="163">
        <v>0</v>
      </c>
      <c r="AB339" s="163">
        <v>1554</v>
      </c>
      <c r="AC339" s="163">
        <v>1278</v>
      </c>
      <c r="AD339" s="163">
        <v>326</v>
      </c>
      <c r="AE339" s="163">
        <v>55</v>
      </c>
      <c r="AF339" s="163">
        <v>455</v>
      </c>
      <c r="AG339" s="163">
        <v>4</v>
      </c>
      <c r="AH339" s="163">
        <v>27873000</v>
      </c>
      <c r="AI339" s="163">
        <v>33821000</v>
      </c>
    </row>
    <row r="340" spans="1:35" x14ac:dyDescent="0.2">
      <c r="A340" t="s">
        <v>629</v>
      </c>
      <c r="B340" t="s">
        <v>474</v>
      </c>
      <c r="C340" s="163">
        <v>66307400.222158015</v>
      </c>
      <c r="D340" s="163">
        <v>40123413.222158015</v>
      </c>
      <c r="E340" s="163">
        <v>21765706</v>
      </c>
      <c r="F340" s="163">
        <v>8472684.2747766506</v>
      </c>
      <c r="G340" s="163">
        <v>7434763.2747766506</v>
      </c>
      <c r="H340" s="163">
        <v>1037921</v>
      </c>
      <c r="I340" s="163">
        <v>6561061.7999435496</v>
      </c>
      <c r="J340" s="163">
        <v>6561061.7999435496</v>
      </c>
      <c r="K340" s="163">
        <v>0</v>
      </c>
      <c r="L340" s="163">
        <v>6731960.0482201604</v>
      </c>
      <c r="M340" s="163">
        <v>701087</v>
      </c>
      <c r="N340" s="163">
        <v>46066</v>
      </c>
      <c r="O340" s="163">
        <v>182609</v>
      </c>
      <c r="P340" s="163">
        <v>5802198</v>
      </c>
      <c r="Q340" s="163">
        <v>3945117</v>
      </c>
      <c r="R340" s="163">
        <v>473164</v>
      </c>
      <c r="S340" s="163">
        <v>13173766</v>
      </c>
      <c r="T340" s="163">
        <v>10348</v>
      </c>
      <c r="U340" s="163">
        <v>508000</v>
      </c>
      <c r="V340" s="163">
        <v>5695</v>
      </c>
      <c r="W340" s="163">
        <v>5662</v>
      </c>
      <c r="X340" s="163">
        <v>1200</v>
      </c>
      <c r="Y340" s="163">
        <v>198</v>
      </c>
      <c r="Z340" s="163">
        <v>125</v>
      </c>
      <c r="AA340" s="163">
        <v>311</v>
      </c>
      <c r="AB340" s="163">
        <v>3280</v>
      </c>
      <c r="AC340" s="163">
        <v>3644</v>
      </c>
      <c r="AD340" s="163">
        <v>948</v>
      </c>
      <c r="AE340" s="163">
        <v>305</v>
      </c>
      <c r="AF340" s="163">
        <v>1302</v>
      </c>
      <c r="AG340" s="163">
        <v>130</v>
      </c>
      <c r="AH340" s="163">
        <v>112728000</v>
      </c>
      <c r="AI340" s="163">
        <v>116476000</v>
      </c>
    </row>
    <row r="341" spans="1:35" x14ac:dyDescent="0.2">
      <c r="A341" t="s">
        <v>633</v>
      </c>
      <c r="B341" t="s">
        <v>394</v>
      </c>
      <c r="C341" s="163">
        <v>33204851.955610499</v>
      </c>
      <c r="D341" s="163">
        <v>21689570.955610499</v>
      </c>
      <c r="E341" s="163">
        <v>9441906</v>
      </c>
      <c r="F341" s="163">
        <v>4016566.4995701602</v>
      </c>
      <c r="G341" s="163">
        <v>3718005.4995701602</v>
      </c>
      <c r="H341" s="163">
        <v>298561</v>
      </c>
      <c r="I341" s="163">
        <v>3011685.9798001298</v>
      </c>
      <c r="J341" s="163">
        <v>3011685.9798001298</v>
      </c>
      <c r="K341" s="163">
        <v>0</v>
      </c>
      <c r="L341" s="163">
        <v>2413653.9927516901</v>
      </c>
      <c r="M341" s="163">
        <v>154409</v>
      </c>
      <c r="N341" s="163">
        <v>60026</v>
      </c>
      <c r="O341" s="163">
        <v>148738</v>
      </c>
      <c r="P341" s="163">
        <v>2050482</v>
      </c>
      <c r="Q341" s="163">
        <v>1854220</v>
      </c>
      <c r="R341" s="163">
        <v>219155</v>
      </c>
      <c r="S341" s="163">
        <v>4725063</v>
      </c>
      <c r="T341" s="163">
        <v>1917</v>
      </c>
      <c r="U341" s="163">
        <v>264000</v>
      </c>
      <c r="V341" s="163">
        <v>3443</v>
      </c>
      <c r="W341" s="163">
        <v>3122</v>
      </c>
      <c r="X341" s="163">
        <v>0</v>
      </c>
      <c r="Y341" s="163">
        <v>600</v>
      </c>
      <c r="Z341" s="163">
        <v>17</v>
      </c>
      <c r="AA341" s="163">
        <v>123</v>
      </c>
      <c r="AB341" s="163">
        <v>2235</v>
      </c>
      <c r="AC341" s="163">
        <v>2888</v>
      </c>
      <c r="AD341" s="163">
        <v>415</v>
      </c>
      <c r="AE341" s="163">
        <v>284</v>
      </c>
      <c r="AF341" s="163">
        <v>714</v>
      </c>
      <c r="AG341" s="163">
        <v>47</v>
      </c>
      <c r="AH341" s="163">
        <v>61367000</v>
      </c>
      <c r="AI341" s="163">
        <v>59697000</v>
      </c>
    </row>
    <row r="342" spans="1:35" x14ac:dyDescent="0.2">
      <c r="A342" t="s">
        <v>631</v>
      </c>
      <c r="B342" t="s">
        <v>268</v>
      </c>
      <c r="C342" s="163">
        <v>48103095.836897627</v>
      </c>
      <c r="D342" s="163">
        <v>32411850.836897627</v>
      </c>
      <c r="E342" s="163">
        <v>13263002</v>
      </c>
      <c r="F342" s="163">
        <v>5318751.7828727998</v>
      </c>
      <c r="G342" s="163">
        <v>4838366.7828727998</v>
      </c>
      <c r="H342" s="163">
        <v>480385</v>
      </c>
      <c r="I342" s="163">
        <v>3834674.1206313199</v>
      </c>
      <c r="J342" s="163">
        <v>3834674.1206313199</v>
      </c>
      <c r="K342" s="163">
        <v>0</v>
      </c>
      <c r="L342" s="163">
        <v>4109575.6927058799</v>
      </c>
      <c r="M342" s="163">
        <v>414743</v>
      </c>
      <c r="N342" s="163">
        <v>86549</v>
      </c>
      <c r="O342" s="163">
        <v>154628</v>
      </c>
      <c r="P342" s="163">
        <v>3453656</v>
      </c>
      <c r="Q342" s="163">
        <v>2095660</v>
      </c>
      <c r="R342" s="163">
        <v>332583</v>
      </c>
      <c r="S342" s="163">
        <v>10682186</v>
      </c>
      <c r="T342" s="163">
        <v>2539</v>
      </c>
      <c r="U342" s="163">
        <v>287000</v>
      </c>
      <c r="V342" s="163">
        <v>5113</v>
      </c>
      <c r="W342" s="163">
        <v>4537</v>
      </c>
      <c r="X342" s="163">
        <v>1019</v>
      </c>
      <c r="Y342" s="163">
        <v>1602</v>
      </c>
      <c r="Z342" s="163">
        <v>170</v>
      </c>
      <c r="AA342" s="163">
        <v>295</v>
      </c>
      <c r="AB342" s="163">
        <v>2701</v>
      </c>
      <c r="AC342" s="163">
        <v>3782</v>
      </c>
      <c r="AD342" s="163">
        <v>667</v>
      </c>
      <c r="AE342" s="163">
        <v>398</v>
      </c>
      <c r="AF342" s="163">
        <v>1053</v>
      </c>
      <c r="AG342" s="163">
        <v>1211</v>
      </c>
      <c r="AH342" s="163">
        <v>86499000</v>
      </c>
      <c r="AI342" s="163">
        <v>87799000</v>
      </c>
    </row>
    <row r="343" spans="1:35" x14ac:dyDescent="0.2">
      <c r="A343" t="s">
        <v>633</v>
      </c>
      <c r="B343" t="s">
        <v>395</v>
      </c>
      <c r="C343" s="163">
        <v>26288379.159630224</v>
      </c>
      <c r="D343" s="163">
        <v>17618846.159630224</v>
      </c>
      <c r="E343" s="163">
        <v>7013300</v>
      </c>
      <c r="F343" s="163">
        <v>3097189.8837152999</v>
      </c>
      <c r="G343" s="163">
        <v>2753690.8837152999</v>
      </c>
      <c r="H343" s="163">
        <v>343499</v>
      </c>
      <c r="I343" s="163">
        <v>2555396.7571219602</v>
      </c>
      <c r="J343" s="163">
        <v>2555396.7571219602</v>
      </c>
      <c r="K343" s="163">
        <v>0</v>
      </c>
      <c r="L343" s="163">
        <v>1360713.6431762199</v>
      </c>
      <c r="M343" s="163">
        <v>311588</v>
      </c>
      <c r="N343" s="163">
        <v>19543</v>
      </c>
      <c r="O343" s="163">
        <v>45652</v>
      </c>
      <c r="P343" s="163">
        <v>983930</v>
      </c>
      <c r="Q343" s="163">
        <v>1450348</v>
      </c>
      <c r="R343" s="163">
        <v>205885</v>
      </c>
      <c r="S343" s="163">
        <v>5350467</v>
      </c>
      <c r="T343" s="163">
        <v>5935</v>
      </c>
      <c r="U343" s="163">
        <v>56000</v>
      </c>
      <c r="V343" s="163">
        <v>6661</v>
      </c>
      <c r="W343" s="163">
        <v>2418</v>
      </c>
      <c r="X343" s="163">
        <v>29</v>
      </c>
      <c r="Y343" s="163">
        <v>2009</v>
      </c>
      <c r="Z343" s="163">
        <v>882</v>
      </c>
      <c r="AA343" s="163">
        <v>356</v>
      </c>
      <c r="AB343" s="163">
        <v>2655</v>
      </c>
      <c r="AC343" s="163">
        <v>4152</v>
      </c>
      <c r="AD343" s="163">
        <v>582</v>
      </c>
      <c r="AE343" s="163">
        <v>49</v>
      </c>
      <c r="AF343" s="163">
        <v>1075</v>
      </c>
      <c r="AG343" s="163">
        <v>65</v>
      </c>
      <c r="AH343" s="163">
        <v>54272000</v>
      </c>
      <c r="AI343" s="163">
        <v>56794000</v>
      </c>
    </row>
    <row r="344" spans="1:35" x14ac:dyDescent="0.2">
      <c r="A344" t="s">
        <v>630</v>
      </c>
      <c r="B344" t="s">
        <v>340</v>
      </c>
      <c r="C344" s="163">
        <v>19138535.55411512</v>
      </c>
      <c r="D344" s="163">
        <v>13158688.55411512</v>
      </c>
      <c r="E344" s="163">
        <v>4690586</v>
      </c>
      <c r="F344" s="163">
        <v>2160270.0938276802</v>
      </c>
      <c r="G344" s="163">
        <v>1949464.0938276802</v>
      </c>
      <c r="H344" s="163">
        <v>210806</v>
      </c>
      <c r="I344" s="163">
        <v>1819390.9994489499</v>
      </c>
      <c r="J344" s="163">
        <v>1819390.9994489499</v>
      </c>
      <c r="K344" s="163">
        <v>0</v>
      </c>
      <c r="L344" s="163">
        <v>710925.02507049299</v>
      </c>
      <c r="M344" s="163">
        <v>41401</v>
      </c>
      <c r="N344" s="163">
        <v>22335</v>
      </c>
      <c r="O344" s="163">
        <v>45652</v>
      </c>
      <c r="P344" s="163">
        <v>601537</v>
      </c>
      <c r="Q344" s="163">
        <v>1106056</v>
      </c>
      <c r="R344" s="163">
        <v>183205</v>
      </c>
      <c r="S344" s="163">
        <v>1964370</v>
      </c>
      <c r="T344" s="163">
        <v>3739</v>
      </c>
      <c r="U344" s="163">
        <v>0</v>
      </c>
      <c r="V344" s="163">
        <v>2315</v>
      </c>
      <c r="W344" s="163">
        <v>628</v>
      </c>
      <c r="X344" s="163">
        <v>394</v>
      </c>
      <c r="Y344" s="163">
        <v>10</v>
      </c>
      <c r="Z344" s="163">
        <v>739</v>
      </c>
      <c r="AA344" s="163">
        <v>121</v>
      </c>
      <c r="AB344" s="163">
        <v>1169</v>
      </c>
      <c r="AC344" s="163">
        <v>1898</v>
      </c>
      <c r="AD344" s="163">
        <v>335</v>
      </c>
      <c r="AE344" s="163">
        <v>193</v>
      </c>
      <c r="AF344" s="163">
        <v>529</v>
      </c>
      <c r="AG344" s="163">
        <v>122</v>
      </c>
      <c r="AH344" s="163">
        <v>31059500</v>
      </c>
      <c r="AI344" s="163">
        <v>31828000</v>
      </c>
    </row>
    <row r="345" spans="1:35" x14ac:dyDescent="0.2">
      <c r="A345" t="s">
        <v>638</v>
      </c>
      <c r="B345" t="s">
        <v>510</v>
      </c>
      <c r="C345" s="163">
        <v>75862999.967714563</v>
      </c>
      <c r="D345" s="163">
        <v>44659293.967714563</v>
      </c>
      <c r="E345" s="163">
        <v>26328399</v>
      </c>
      <c r="F345" s="163">
        <v>9194919.8549020309</v>
      </c>
      <c r="G345" s="163">
        <v>7969733.8549020309</v>
      </c>
      <c r="H345" s="163">
        <v>1225186</v>
      </c>
      <c r="I345" s="163">
        <v>7059409.5883634305</v>
      </c>
      <c r="J345" s="163">
        <v>7059409.5883634305</v>
      </c>
      <c r="K345" s="163">
        <v>0</v>
      </c>
      <c r="L345" s="163">
        <v>10074069.2637456</v>
      </c>
      <c r="M345" s="163">
        <v>1113435</v>
      </c>
      <c r="N345" s="163">
        <v>65610</v>
      </c>
      <c r="O345" s="163">
        <v>256241</v>
      </c>
      <c r="P345" s="163">
        <v>8638784</v>
      </c>
      <c r="Q345" s="163">
        <v>4373043</v>
      </c>
      <c r="R345" s="163">
        <v>502264</v>
      </c>
      <c r="S345" s="163">
        <v>13129051</v>
      </c>
      <c r="T345" s="163">
        <v>14821</v>
      </c>
      <c r="U345" s="163">
        <v>435000</v>
      </c>
      <c r="V345" s="163">
        <v>5761</v>
      </c>
      <c r="W345" s="163">
        <v>4017</v>
      </c>
      <c r="X345" s="163">
        <v>2794</v>
      </c>
      <c r="Y345" s="163">
        <v>26</v>
      </c>
      <c r="Z345" s="163">
        <v>1131</v>
      </c>
      <c r="AA345" s="163">
        <v>402</v>
      </c>
      <c r="AB345" s="163">
        <v>5858</v>
      </c>
      <c r="AC345" s="163">
        <v>4937</v>
      </c>
      <c r="AD345" s="163">
        <v>819</v>
      </c>
      <c r="AE345" s="163">
        <v>11</v>
      </c>
      <c r="AF345" s="163">
        <v>1243</v>
      </c>
      <c r="AG345" s="163">
        <v>589</v>
      </c>
      <c r="AH345" s="163">
        <v>134959000</v>
      </c>
      <c r="AI345" s="163">
        <v>138357000</v>
      </c>
    </row>
    <row r="346" spans="1:35" x14ac:dyDescent="0.2">
      <c r="A346" t="s">
        <v>630</v>
      </c>
      <c r="B346" t="s">
        <v>341</v>
      </c>
      <c r="C346" s="163">
        <v>24815908.337736182</v>
      </c>
      <c r="D346" s="163">
        <v>16862606.337736182</v>
      </c>
      <c r="E346" s="163">
        <v>6469832</v>
      </c>
      <c r="F346" s="163">
        <v>3046872.45250266</v>
      </c>
      <c r="G346" s="163">
        <v>2664357.45250266</v>
      </c>
      <c r="H346" s="163">
        <v>382515</v>
      </c>
      <c r="I346" s="163">
        <v>2166082.0384286498</v>
      </c>
      <c r="J346" s="163">
        <v>2166082.0384286498</v>
      </c>
      <c r="K346" s="163">
        <v>0</v>
      </c>
      <c r="L346" s="163">
        <v>1256877.79363319</v>
      </c>
      <c r="M346" s="163">
        <v>418601</v>
      </c>
      <c r="N346" s="163">
        <v>18147</v>
      </c>
      <c r="O346" s="163">
        <v>30926</v>
      </c>
      <c r="P346" s="163">
        <v>789204</v>
      </c>
      <c r="Q346" s="163">
        <v>1338055</v>
      </c>
      <c r="R346" s="163">
        <v>145415</v>
      </c>
      <c r="S346" s="163">
        <v>5386848</v>
      </c>
      <c r="T346" s="163">
        <v>3133</v>
      </c>
      <c r="U346" s="163">
        <v>349000</v>
      </c>
      <c r="V346" s="163">
        <v>2134</v>
      </c>
      <c r="W346" s="163">
        <v>1826</v>
      </c>
      <c r="X346" s="163">
        <v>330</v>
      </c>
      <c r="Y346" s="163">
        <v>738</v>
      </c>
      <c r="Z346" s="163">
        <v>0</v>
      </c>
      <c r="AA346" s="163">
        <v>70</v>
      </c>
      <c r="AB346" s="163">
        <v>1933</v>
      </c>
      <c r="AC346" s="163">
        <v>2218</v>
      </c>
      <c r="AD346" s="163">
        <v>362</v>
      </c>
      <c r="AE346" s="163">
        <v>165</v>
      </c>
      <c r="AF346" s="163">
        <v>1350</v>
      </c>
      <c r="AG346" s="163">
        <v>101</v>
      </c>
      <c r="AH346" s="163">
        <v>43710000</v>
      </c>
      <c r="AI346" s="163">
        <v>43433000</v>
      </c>
    </row>
    <row r="347" spans="1:35" x14ac:dyDescent="0.2">
      <c r="A347" t="s">
        <v>629</v>
      </c>
      <c r="B347" t="s">
        <v>475</v>
      </c>
      <c r="C347" s="163">
        <v>32577665.956344143</v>
      </c>
      <c r="D347" s="163">
        <v>21215428.956344143</v>
      </c>
      <c r="E347" s="163">
        <v>9422204</v>
      </c>
      <c r="F347" s="163">
        <v>4395154.0686220098</v>
      </c>
      <c r="G347" s="163">
        <v>3937910.0686220098</v>
      </c>
      <c r="H347" s="163">
        <v>457244</v>
      </c>
      <c r="I347" s="163">
        <v>3064185.4033117602</v>
      </c>
      <c r="J347" s="163">
        <v>3064185.4033117602</v>
      </c>
      <c r="K347" s="163">
        <v>0</v>
      </c>
      <c r="L347" s="163">
        <v>1962864.76412465</v>
      </c>
      <c r="M347" s="163">
        <v>86212</v>
      </c>
      <c r="N347" s="163">
        <v>41878</v>
      </c>
      <c r="O347" s="163">
        <v>101613</v>
      </c>
      <c r="P347" s="163">
        <v>1733162</v>
      </c>
      <c r="Q347" s="163">
        <v>1736502</v>
      </c>
      <c r="R347" s="163">
        <v>203531</v>
      </c>
      <c r="S347" s="163">
        <v>3564929</v>
      </c>
      <c r="T347" s="163">
        <v>365</v>
      </c>
      <c r="U347" s="163">
        <v>132000</v>
      </c>
      <c r="V347" s="163">
        <v>2794</v>
      </c>
      <c r="W347" s="163">
        <v>1150</v>
      </c>
      <c r="X347" s="163">
        <v>0</v>
      </c>
      <c r="Y347" s="163">
        <v>0</v>
      </c>
      <c r="Z347" s="163">
        <v>100</v>
      </c>
      <c r="AA347" s="163">
        <v>194</v>
      </c>
      <c r="AB347" s="163">
        <v>2606</v>
      </c>
      <c r="AC347" s="163">
        <v>2279</v>
      </c>
      <c r="AD347" s="163">
        <v>410</v>
      </c>
      <c r="AE347" s="163">
        <v>358</v>
      </c>
      <c r="AF347" s="163">
        <v>543</v>
      </c>
      <c r="AG347" s="163">
        <v>64</v>
      </c>
      <c r="AH347" s="163">
        <v>50870000</v>
      </c>
      <c r="AI347" s="163">
        <v>51549000</v>
      </c>
    </row>
    <row r="348" spans="1:35" x14ac:dyDescent="0.2">
      <c r="A348" t="s">
        <v>631</v>
      </c>
      <c r="B348" t="s">
        <v>269</v>
      </c>
      <c r="C348" s="163">
        <v>22943512.291291308</v>
      </c>
      <c r="D348" s="163">
        <v>14901387.291291308</v>
      </c>
      <c r="E348" s="163">
        <v>6526243</v>
      </c>
      <c r="F348" s="163">
        <v>2554265.90332792</v>
      </c>
      <c r="G348" s="163">
        <v>2307257.90332792</v>
      </c>
      <c r="H348" s="163">
        <v>247008</v>
      </c>
      <c r="I348" s="163">
        <v>2380721.2188783898</v>
      </c>
      <c r="J348" s="163">
        <v>2380721.2188783898</v>
      </c>
      <c r="K348" s="163">
        <v>0</v>
      </c>
      <c r="L348" s="163">
        <v>1591256.33853609</v>
      </c>
      <c r="M348" s="163">
        <v>193602</v>
      </c>
      <c r="N348" s="163">
        <v>12564</v>
      </c>
      <c r="O348" s="163">
        <v>42707</v>
      </c>
      <c r="P348" s="163">
        <v>1342384</v>
      </c>
      <c r="Q348" s="163">
        <v>1351739</v>
      </c>
      <c r="R348" s="163">
        <v>164143</v>
      </c>
      <c r="S348" s="163">
        <v>3359811</v>
      </c>
      <c r="T348" s="163">
        <v>386</v>
      </c>
      <c r="U348" s="163">
        <v>49000</v>
      </c>
      <c r="V348" s="163">
        <v>2309</v>
      </c>
      <c r="W348" s="163">
        <v>1492</v>
      </c>
      <c r="X348" s="163">
        <v>0</v>
      </c>
      <c r="Y348" s="163">
        <v>0</v>
      </c>
      <c r="Z348" s="163">
        <v>128</v>
      </c>
      <c r="AA348" s="163">
        <v>56</v>
      </c>
      <c r="AB348" s="163">
        <v>2396</v>
      </c>
      <c r="AC348" s="163">
        <v>0</v>
      </c>
      <c r="AD348" s="163">
        <v>288</v>
      </c>
      <c r="AE348" s="163">
        <v>31</v>
      </c>
      <c r="AF348" s="163">
        <v>487</v>
      </c>
      <c r="AG348" s="163">
        <v>47</v>
      </c>
      <c r="AH348" s="163">
        <v>38778000</v>
      </c>
      <c r="AI348" s="163">
        <v>42015000</v>
      </c>
    </row>
    <row r="349" spans="1:35" x14ac:dyDescent="0.2">
      <c r="A349" t="s">
        <v>628</v>
      </c>
      <c r="B349" t="s">
        <v>153</v>
      </c>
      <c r="C349" s="163">
        <v>28479684.238715313</v>
      </c>
      <c r="D349" s="163">
        <v>17540491.238715313</v>
      </c>
      <c r="E349" s="163">
        <v>9034119</v>
      </c>
      <c r="F349" s="163">
        <v>3190428.4684253698</v>
      </c>
      <c r="G349" s="163">
        <v>2834202.4684253698</v>
      </c>
      <c r="H349" s="163">
        <v>356226</v>
      </c>
      <c r="I349" s="163">
        <v>2762007.2428681301</v>
      </c>
      <c r="J349" s="163">
        <v>2762007.2428681301</v>
      </c>
      <c r="K349" s="163">
        <v>0</v>
      </c>
      <c r="L349" s="163">
        <v>3081683.6710544601</v>
      </c>
      <c r="M349" s="163">
        <v>292550</v>
      </c>
      <c r="N349" s="163">
        <v>27919</v>
      </c>
      <c r="O349" s="163">
        <v>66269</v>
      </c>
      <c r="P349" s="163">
        <v>2694946</v>
      </c>
      <c r="Q349" s="163">
        <v>1706843</v>
      </c>
      <c r="R349" s="163">
        <v>198231</v>
      </c>
      <c r="S349" s="163">
        <v>3456521</v>
      </c>
      <c r="T349" s="163">
        <v>11161</v>
      </c>
      <c r="U349" s="163">
        <v>52000</v>
      </c>
      <c r="V349" s="163">
        <v>2038</v>
      </c>
      <c r="W349" s="163">
        <v>1303</v>
      </c>
      <c r="X349" s="163">
        <v>0</v>
      </c>
      <c r="Y349" s="163">
        <v>0</v>
      </c>
      <c r="Z349" s="163">
        <v>839</v>
      </c>
      <c r="AA349" s="163">
        <v>643</v>
      </c>
      <c r="AB349" s="163">
        <v>2150</v>
      </c>
      <c r="AC349" s="163">
        <v>1416</v>
      </c>
      <c r="AD349" s="163">
        <v>345</v>
      </c>
      <c r="AE349" s="163">
        <v>248</v>
      </c>
      <c r="AF349" s="163">
        <v>394</v>
      </c>
      <c r="AG349" s="163">
        <v>35</v>
      </c>
      <c r="AH349" s="163">
        <v>45512000</v>
      </c>
      <c r="AI349" s="163">
        <v>46550000</v>
      </c>
    </row>
    <row r="350" spans="1:35" x14ac:dyDescent="0.2">
      <c r="A350" t="s">
        <v>631</v>
      </c>
      <c r="B350" t="s">
        <v>270</v>
      </c>
      <c r="C350" s="163">
        <v>22268151.293792207</v>
      </c>
      <c r="D350" s="163">
        <v>11962459.293792207</v>
      </c>
      <c r="E350" s="163">
        <v>9041775</v>
      </c>
      <c r="F350" s="163">
        <v>3861770.4021655298</v>
      </c>
      <c r="G350" s="163">
        <v>3421292.4021655298</v>
      </c>
      <c r="H350" s="163">
        <v>440478</v>
      </c>
      <c r="I350" s="163">
        <v>2067540.19392974</v>
      </c>
      <c r="J350" s="163">
        <v>2067540.19392974</v>
      </c>
      <c r="K350" s="163">
        <v>0</v>
      </c>
      <c r="L350" s="163">
        <v>3112464.1599130402</v>
      </c>
      <c r="M350" s="163">
        <v>546193</v>
      </c>
      <c r="N350" s="163">
        <v>67005</v>
      </c>
      <c r="O350" s="163">
        <v>104558</v>
      </c>
      <c r="P350" s="163">
        <v>2394707</v>
      </c>
      <c r="Q350" s="163">
        <v>1095909</v>
      </c>
      <c r="R350" s="163">
        <v>168008</v>
      </c>
      <c r="S350" s="163">
        <v>5153619</v>
      </c>
      <c r="T350" s="163">
        <v>560</v>
      </c>
      <c r="U350" s="163">
        <v>119000</v>
      </c>
      <c r="V350" s="163">
        <v>2048</v>
      </c>
      <c r="W350" s="163">
        <v>390</v>
      </c>
      <c r="X350" s="163">
        <v>2</v>
      </c>
      <c r="Y350" s="163">
        <v>140</v>
      </c>
      <c r="Z350" s="163">
        <v>0</v>
      </c>
      <c r="AA350" s="163">
        <v>124</v>
      </c>
      <c r="AB350" s="163">
        <v>1424</v>
      </c>
      <c r="AC350" s="163">
        <v>1341</v>
      </c>
      <c r="AD350" s="163">
        <v>284</v>
      </c>
      <c r="AE350" s="163">
        <v>41</v>
      </c>
      <c r="AF350" s="163">
        <v>135</v>
      </c>
      <c r="AG350" s="163">
        <v>12</v>
      </c>
      <c r="AH350" s="163">
        <v>33775000</v>
      </c>
      <c r="AI350" s="163">
        <v>34295000</v>
      </c>
    </row>
    <row r="351" spans="1:35" x14ac:dyDescent="0.2">
      <c r="A351" t="s">
        <v>637</v>
      </c>
      <c r="B351" s="249" t="s">
        <v>821</v>
      </c>
      <c r="C351" s="163">
        <v>50653287.472738497</v>
      </c>
      <c r="D351" s="163">
        <v>26484195.472738497</v>
      </c>
      <c r="E351" s="163">
        <v>20100158</v>
      </c>
      <c r="F351" s="163">
        <v>5967451.4890751</v>
      </c>
      <c r="G351" s="163">
        <v>4918639.4890751</v>
      </c>
      <c r="H351" s="163">
        <v>1048812</v>
      </c>
      <c r="I351" s="163">
        <v>4765587.9170486499</v>
      </c>
      <c r="J351" s="163">
        <v>4765587.9170486499</v>
      </c>
      <c r="K351" s="163">
        <v>0</v>
      </c>
      <c r="L351" s="163">
        <v>9367118.7314749602</v>
      </c>
      <c r="M351" s="163">
        <v>780777</v>
      </c>
      <c r="N351" s="163">
        <v>83756</v>
      </c>
      <c r="O351" s="163">
        <v>132539</v>
      </c>
      <c r="P351" s="163">
        <v>8370046</v>
      </c>
      <c r="Q351" s="163">
        <v>2862176</v>
      </c>
      <c r="R351" s="163">
        <v>1206758</v>
      </c>
      <c r="S351" s="163">
        <v>6648100</v>
      </c>
      <c r="T351" s="163">
        <v>2119</v>
      </c>
      <c r="U351" s="163">
        <v>612000</v>
      </c>
      <c r="V351" s="163" t="s">
        <v>844</v>
      </c>
      <c r="W351" s="163" t="s">
        <v>844</v>
      </c>
      <c r="X351" s="163" t="s">
        <v>844</v>
      </c>
      <c r="Y351" s="163" t="s">
        <v>844</v>
      </c>
      <c r="Z351" s="163" t="s">
        <v>844</v>
      </c>
      <c r="AA351" s="163" t="s">
        <v>844</v>
      </c>
      <c r="AB351" s="163" t="s">
        <v>844</v>
      </c>
      <c r="AC351" s="163" t="s">
        <v>844</v>
      </c>
      <c r="AD351" s="163" t="s">
        <v>844</v>
      </c>
      <c r="AE351" s="163" t="s">
        <v>844</v>
      </c>
      <c r="AF351" s="163" t="s">
        <v>844</v>
      </c>
      <c r="AG351" s="163" t="s">
        <v>844</v>
      </c>
      <c r="AH351" s="163"/>
      <c r="AI351" s="163"/>
    </row>
    <row r="352" spans="1:35" x14ac:dyDescent="0.2">
      <c r="A352" t="s">
        <v>633</v>
      </c>
      <c r="B352" t="s">
        <v>396</v>
      </c>
      <c r="C352" s="163">
        <v>120081413.97463726</v>
      </c>
      <c r="D352" s="163">
        <v>77599197.974637255</v>
      </c>
      <c r="E352" s="163">
        <v>34645290</v>
      </c>
      <c r="F352" s="163">
        <v>16121493.7737344</v>
      </c>
      <c r="G352" s="163">
        <v>14312867.7737344</v>
      </c>
      <c r="H352" s="163">
        <v>1808626</v>
      </c>
      <c r="I352" s="163">
        <v>11078048.8292647</v>
      </c>
      <c r="J352" s="163">
        <v>11078048.8292647</v>
      </c>
      <c r="K352" s="163">
        <v>0</v>
      </c>
      <c r="L352" s="163">
        <v>7445747.2791939396</v>
      </c>
      <c r="M352" s="163">
        <v>451478</v>
      </c>
      <c r="N352" s="163">
        <v>157742</v>
      </c>
      <c r="O352" s="163">
        <v>268023</v>
      </c>
      <c r="P352" s="163">
        <v>6568504</v>
      </c>
      <c r="Q352" s="163">
        <v>6961486</v>
      </c>
      <c r="R352" s="163">
        <v>875440</v>
      </c>
      <c r="S352" s="163">
        <v>16653715</v>
      </c>
      <c r="T352" s="163">
        <v>37086</v>
      </c>
      <c r="U352" s="163">
        <v>660000</v>
      </c>
      <c r="V352" s="163">
        <v>13702</v>
      </c>
      <c r="W352" s="163">
        <v>13141</v>
      </c>
      <c r="X352" s="163">
        <v>0</v>
      </c>
      <c r="Y352" s="163">
        <v>0</v>
      </c>
      <c r="Z352" s="163">
        <v>303</v>
      </c>
      <c r="AA352" s="163">
        <v>561</v>
      </c>
      <c r="AB352" s="163">
        <v>11616</v>
      </c>
      <c r="AC352" s="163">
        <v>8166</v>
      </c>
      <c r="AD352" s="163">
        <v>1890</v>
      </c>
      <c r="AE352" s="163">
        <v>1418</v>
      </c>
      <c r="AF352" s="163">
        <v>3832</v>
      </c>
      <c r="AG352" s="163">
        <v>318</v>
      </c>
      <c r="AH352" s="163">
        <v>241099000</v>
      </c>
      <c r="AI352" s="163">
        <v>249878000</v>
      </c>
    </row>
    <row r="353" spans="1:35" x14ac:dyDescent="0.2">
      <c r="A353" t="s">
        <v>632</v>
      </c>
      <c r="B353" t="s">
        <v>198</v>
      </c>
      <c r="C353" s="163">
        <v>41705500.086903632</v>
      </c>
      <c r="D353" s="163">
        <v>24543337.086903632</v>
      </c>
      <c r="E353" s="163">
        <v>14390567</v>
      </c>
      <c r="F353" s="163">
        <v>5376740.3021068797</v>
      </c>
      <c r="G353" s="163">
        <v>4772835.3021068797</v>
      </c>
      <c r="H353" s="163">
        <v>603905</v>
      </c>
      <c r="I353" s="163">
        <v>3862819.5361111802</v>
      </c>
      <c r="J353" s="163">
        <v>3862819.5361111802</v>
      </c>
      <c r="K353" s="163">
        <v>0</v>
      </c>
      <c r="L353" s="163">
        <v>5151006.8691130402</v>
      </c>
      <c r="M353" s="163">
        <v>588691</v>
      </c>
      <c r="N353" s="163">
        <v>40482</v>
      </c>
      <c r="O353" s="163">
        <v>86886</v>
      </c>
      <c r="P353" s="163">
        <v>4434947</v>
      </c>
      <c r="Q353" s="163">
        <v>2421502</v>
      </c>
      <c r="R353" s="163">
        <v>350094</v>
      </c>
      <c r="S353" s="163">
        <v>7191559</v>
      </c>
      <c r="T353" s="163">
        <v>6871</v>
      </c>
      <c r="U353" s="163">
        <v>185000</v>
      </c>
      <c r="V353" s="163">
        <v>2886</v>
      </c>
      <c r="W353" s="163">
        <v>1683</v>
      </c>
      <c r="X353" s="163">
        <v>0</v>
      </c>
      <c r="Y353" s="163">
        <v>1349</v>
      </c>
      <c r="Z353" s="163">
        <v>119</v>
      </c>
      <c r="AA353" s="163">
        <v>89</v>
      </c>
      <c r="AB353" s="163">
        <v>1867</v>
      </c>
      <c r="AC353" s="163">
        <v>2533</v>
      </c>
      <c r="AD353" s="163">
        <v>321</v>
      </c>
      <c r="AE353" s="163">
        <v>88</v>
      </c>
      <c r="AF353" s="163">
        <v>533</v>
      </c>
      <c r="AG353" s="163">
        <v>69</v>
      </c>
      <c r="AH353" s="163">
        <v>68030000</v>
      </c>
      <c r="AI353" s="163">
        <v>68537000</v>
      </c>
    </row>
    <row r="354" spans="1:35" x14ac:dyDescent="0.2">
      <c r="A354" t="s">
        <v>633</v>
      </c>
      <c r="B354" t="s">
        <v>397</v>
      </c>
      <c r="C354" s="163">
        <v>15159293.922599426</v>
      </c>
      <c r="D354" s="163">
        <v>10264300.922599426</v>
      </c>
      <c r="E354" s="163">
        <v>3731302</v>
      </c>
      <c r="F354" s="163">
        <v>2033336.6484997901</v>
      </c>
      <c r="G354" s="163">
        <v>1012336.6484997901</v>
      </c>
      <c r="H354" s="163">
        <v>1021000</v>
      </c>
      <c r="I354" s="163">
        <v>1622340.2660174</v>
      </c>
      <c r="J354" s="163">
        <v>1622340.2660174</v>
      </c>
      <c r="K354" s="163">
        <v>0</v>
      </c>
      <c r="L354" s="163">
        <v>75625.422452022205</v>
      </c>
      <c r="M354" s="163">
        <v>33686</v>
      </c>
      <c r="N354" s="163">
        <v>13959</v>
      </c>
      <c r="O354" s="163">
        <v>27980</v>
      </c>
      <c r="P354" s="163">
        <v>0</v>
      </c>
      <c r="Q354" s="163">
        <v>1000087</v>
      </c>
      <c r="R354" s="163">
        <v>163604</v>
      </c>
      <c r="S354" s="163">
        <v>1701617</v>
      </c>
      <c r="T354" s="163">
        <v>0</v>
      </c>
      <c r="U354" s="163">
        <v>83000</v>
      </c>
      <c r="V354" s="163">
        <v>1884</v>
      </c>
      <c r="W354" s="163">
        <v>349</v>
      </c>
      <c r="X354" s="163">
        <v>269</v>
      </c>
      <c r="Y354" s="163">
        <v>0</v>
      </c>
      <c r="Z354" s="163">
        <v>924</v>
      </c>
      <c r="AA354" s="163">
        <v>95</v>
      </c>
      <c r="AB354" s="163">
        <v>2477</v>
      </c>
      <c r="AC354" s="163">
        <v>1526</v>
      </c>
      <c r="AD354" s="163">
        <v>294</v>
      </c>
      <c r="AE354" s="163">
        <v>337</v>
      </c>
      <c r="AF354" s="163">
        <v>429</v>
      </c>
      <c r="AG354" s="163">
        <v>44</v>
      </c>
      <c r="AH354" s="163">
        <v>39209000</v>
      </c>
      <c r="AI354" s="163">
        <v>38268000</v>
      </c>
    </row>
    <row r="355" spans="1:35" x14ac:dyDescent="0.2">
      <c r="A355" t="s">
        <v>634</v>
      </c>
      <c r="B355" t="s">
        <v>220</v>
      </c>
      <c r="C355" s="163">
        <v>28541519.397831149</v>
      </c>
      <c r="D355" s="163">
        <v>17866916.397831149</v>
      </c>
      <c r="E355" s="163">
        <v>8922482</v>
      </c>
      <c r="F355" s="163">
        <v>3952796.13825844</v>
      </c>
      <c r="G355" s="163">
        <v>3205572.13825844</v>
      </c>
      <c r="H355" s="163">
        <v>747224</v>
      </c>
      <c r="I355" s="163">
        <v>2593556.8709938801</v>
      </c>
      <c r="J355" s="163">
        <v>2593556.8709938801</v>
      </c>
      <c r="K355" s="163">
        <v>0</v>
      </c>
      <c r="L355" s="163">
        <v>2376128.65944611</v>
      </c>
      <c r="M355" s="163">
        <v>58299</v>
      </c>
      <c r="N355" s="163">
        <v>27919</v>
      </c>
      <c r="O355" s="163">
        <v>38289</v>
      </c>
      <c r="P355" s="163">
        <v>2251622</v>
      </c>
      <c r="Q355" s="163">
        <v>1548119</v>
      </c>
      <c r="R355" s="163">
        <v>204002</v>
      </c>
      <c r="S355" s="163">
        <v>2873756</v>
      </c>
      <c r="T355" s="163">
        <v>4970</v>
      </c>
      <c r="U355" s="163">
        <v>58000</v>
      </c>
      <c r="V355" s="163">
        <v>2576</v>
      </c>
      <c r="W355" s="163">
        <v>795</v>
      </c>
      <c r="X355" s="163">
        <v>0</v>
      </c>
      <c r="Y355" s="163">
        <v>0</v>
      </c>
      <c r="Z355" s="163">
        <v>139</v>
      </c>
      <c r="AA355" s="163">
        <v>149</v>
      </c>
      <c r="AB355" s="163">
        <v>2662</v>
      </c>
      <c r="AC355" s="163">
        <v>1556</v>
      </c>
      <c r="AD355" s="163">
        <v>418</v>
      </c>
      <c r="AE355" s="163">
        <v>253</v>
      </c>
      <c r="AF355" s="163">
        <v>723</v>
      </c>
      <c r="AG355" s="163">
        <v>59</v>
      </c>
      <c r="AH355" s="163">
        <v>43505000</v>
      </c>
      <c r="AI355" s="163">
        <v>42095000</v>
      </c>
    </row>
    <row r="356" spans="1:35" x14ac:dyDescent="0.2">
      <c r="A356" t="s">
        <v>631</v>
      </c>
      <c r="B356" t="s">
        <v>271</v>
      </c>
      <c r="C356" s="163">
        <v>54469579.653317124</v>
      </c>
      <c r="D356" s="163">
        <v>33248018.653317124</v>
      </c>
      <c r="E356" s="163">
        <v>17936604</v>
      </c>
      <c r="F356" s="163">
        <v>7355412.3353772797</v>
      </c>
      <c r="G356" s="163">
        <v>6840430.3353772797</v>
      </c>
      <c r="H356" s="163">
        <v>514982</v>
      </c>
      <c r="I356" s="163">
        <v>5101599.9635494603</v>
      </c>
      <c r="J356" s="163">
        <v>5101599.9635494603</v>
      </c>
      <c r="K356" s="163">
        <v>0</v>
      </c>
      <c r="L356" s="163">
        <v>5479591.2397459503</v>
      </c>
      <c r="M356" s="163">
        <v>650064</v>
      </c>
      <c r="N356" s="163">
        <v>87945</v>
      </c>
      <c r="O356" s="163">
        <v>170828</v>
      </c>
      <c r="P356" s="163">
        <v>4570755</v>
      </c>
      <c r="Q356" s="163">
        <v>2886761</v>
      </c>
      <c r="R356" s="163">
        <v>398196</v>
      </c>
      <c r="S356" s="163">
        <v>9870365</v>
      </c>
      <c r="T356" s="163">
        <v>13014</v>
      </c>
      <c r="U356" s="163">
        <v>59000</v>
      </c>
      <c r="V356" s="163">
        <v>4884</v>
      </c>
      <c r="W356" s="163">
        <v>2931</v>
      </c>
      <c r="X356" s="163">
        <v>0</v>
      </c>
      <c r="Y356" s="163">
        <v>0</v>
      </c>
      <c r="Z356" s="163">
        <v>49</v>
      </c>
      <c r="AA356" s="163">
        <v>728</v>
      </c>
      <c r="AB356" s="163">
        <v>3921</v>
      </c>
      <c r="AC356" s="163">
        <v>3216</v>
      </c>
      <c r="AD356" s="163">
        <v>701</v>
      </c>
      <c r="AE356" s="163">
        <v>0</v>
      </c>
      <c r="AF356" s="163">
        <v>783</v>
      </c>
      <c r="AG356" s="163">
        <v>248</v>
      </c>
      <c r="AH356" s="163">
        <v>84785000</v>
      </c>
      <c r="AI356" s="163">
        <v>85617000</v>
      </c>
    </row>
    <row r="357" spans="1:35" x14ac:dyDescent="0.2">
      <c r="A357" t="s">
        <v>630</v>
      </c>
      <c r="B357" t="s">
        <v>342</v>
      </c>
      <c r="C357" s="163">
        <v>23463031.922657266</v>
      </c>
      <c r="D357" s="163">
        <v>15939264.922657266</v>
      </c>
      <c r="E357" s="163">
        <v>5795234</v>
      </c>
      <c r="F357" s="163">
        <v>2558714.8406376098</v>
      </c>
      <c r="G357" s="163">
        <v>2224358.8406376098</v>
      </c>
      <c r="H357" s="163">
        <v>334356</v>
      </c>
      <c r="I357" s="163">
        <v>2485115.83164699</v>
      </c>
      <c r="J357" s="163">
        <v>2485115.83164699</v>
      </c>
      <c r="K357" s="163">
        <v>0</v>
      </c>
      <c r="L357" s="163">
        <v>751403.56194941897</v>
      </c>
      <c r="M357" s="163">
        <v>55174</v>
      </c>
      <c r="N357" s="163">
        <v>22335</v>
      </c>
      <c r="O357" s="163">
        <v>36816</v>
      </c>
      <c r="P357" s="163">
        <v>637078</v>
      </c>
      <c r="Q357" s="163">
        <v>1543286</v>
      </c>
      <c r="R357" s="163">
        <v>185247</v>
      </c>
      <c r="S357" s="163">
        <v>3117953</v>
      </c>
      <c r="T357" s="163">
        <v>6006</v>
      </c>
      <c r="U357" s="163">
        <v>54000</v>
      </c>
      <c r="V357" s="163">
        <v>4898</v>
      </c>
      <c r="W357" s="163">
        <v>1256</v>
      </c>
      <c r="X357" s="163">
        <v>7</v>
      </c>
      <c r="Y357" s="163">
        <v>0</v>
      </c>
      <c r="Z357" s="163">
        <v>301</v>
      </c>
      <c r="AA357" s="163">
        <v>599</v>
      </c>
      <c r="AB357" s="163">
        <v>3600</v>
      </c>
      <c r="AC357" s="163">
        <v>2638</v>
      </c>
      <c r="AD357" s="163">
        <v>298</v>
      </c>
      <c r="AE357" s="163">
        <v>340</v>
      </c>
      <c r="AF357" s="163">
        <v>634</v>
      </c>
      <c r="AG357" s="163">
        <v>49</v>
      </c>
      <c r="AH357" s="163">
        <v>46276000</v>
      </c>
      <c r="AI357" s="163">
        <v>46373000</v>
      </c>
    </row>
    <row r="358" spans="1:35" x14ac:dyDescent="0.2">
      <c r="A358" t="s">
        <v>636</v>
      </c>
      <c r="B358" t="s">
        <v>297</v>
      </c>
      <c r="C358" s="163">
        <v>27277648.464316264</v>
      </c>
      <c r="D358" s="163">
        <v>17513520.464316264</v>
      </c>
      <c r="E358" s="163">
        <v>8282799</v>
      </c>
      <c r="F358" s="163">
        <v>4265437.6707180301</v>
      </c>
      <c r="G358" s="163">
        <v>3764938.6707180301</v>
      </c>
      <c r="H358" s="163">
        <v>500499</v>
      </c>
      <c r="I358" s="163">
        <v>2516608.1479808302</v>
      </c>
      <c r="J358" s="163">
        <v>2516608.1479808302</v>
      </c>
      <c r="K358" s="163">
        <v>0</v>
      </c>
      <c r="L358" s="163">
        <v>1500752.96489639</v>
      </c>
      <c r="M358" s="163">
        <v>69421</v>
      </c>
      <c r="N358" s="163">
        <v>30711</v>
      </c>
      <c r="O358" s="163">
        <v>58906</v>
      </c>
      <c r="P358" s="163">
        <v>1341715</v>
      </c>
      <c r="Q358" s="163">
        <v>1312109</v>
      </c>
      <c r="R358" s="163">
        <v>169220</v>
      </c>
      <c r="S358" s="163">
        <v>3756608</v>
      </c>
      <c r="T358" s="163">
        <v>5128</v>
      </c>
      <c r="U358" s="163">
        <v>141000</v>
      </c>
      <c r="V358" s="163">
        <v>3807</v>
      </c>
      <c r="W358" s="163">
        <v>1212</v>
      </c>
      <c r="X358" s="163">
        <v>27</v>
      </c>
      <c r="Y358" s="163">
        <v>1100</v>
      </c>
      <c r="Z358" s="163">
        <v>32</v>
      </c>
      <c r="AA358" s="163">
        <v>115</v>
      </c>
      <c r="AB358" s="163">
        <v>2379</v>
      </c>
      <c r="AC358" s="163">
        <v>1895</v>
      </c>
      <c r="AD358" s="163">
        <v>505</v>
      </c>
      <c r="AE358" s="163">
        <v>141</v>
      </c>
      <c r="AF358" s="163">
        <v>482</v>
      </c>
      <c r="AG358" s="163">
        <v>127</v>
      </c>
      <c r="AH358" s="163">
        <v>45742000</v>
      </c>
      <c r="AI358" s="163">
        <v>47130000</v>
      </c>
    </row>
    <row r="359" spans="1:35" x14ac:dyDescent="0.2">
      <c r="A359" t="s">
        <v>637</v>
      </c>
      <c r="B359" t="s">
        <v>177</v>
      </c>
      <c r="C359" s="163">
        <v>21111994.818126686</v>
      </c>
      <c r="D359" s="163">
        <v>12960747.818126686</v>
      </c>
      <c r="E359" s="163">
        <v>7023210</v>
      </c>
      <c r="F359" s="163">
        <v>3152457.3986557801</v>
      </c>
      <c r="G359" s="163">
        <v>2709114.3986557801</v>
      </c>
      <c r="H359" s="163">
        <v>443343</v>
      </c>
      <c r="I359" s="163">
        <v>1749570.93590228</v>
      </c>
      <c r="J359" s="163">
        <v>1749570.93590228</v>
      </c>
      <c r="K359" s="163">
        <v>0</v>
      </c>
      <c r="L359" s="163">
        <v>2121181.36995224</v>
      </c>
      <c r="M359" s="163">
        <v>343065</v>
      </c>
      <c r="N359" s="163">
        <v>33503</v>
      </c>
      <c r="O359" s="163">
        <v>60379</v>
      </c>
      <c r="P359" s="163">
        <v>1684235</v>
      </c>
      <c r="Q359" s="163">
        <v>1011483</v>
      </c>
      <c r="R359" s="163">
        <v>116554</v>
      </c>
      <c r="S359" s="163">
        <v>3665935</v>
      </c>
      <c r="T359" s="163">
        <v>11895</v>
      </c>
      <c r="U359" s="163">
        <v>53000</v>
      </c>
      <c r="V359" s="163">
        <v>2042</v>
      </c>
      <c r="W359" s="163">
        <v>695</v>
      </c>
      <c r="X359" s="163">
        <v>0</v>
      </c>
      <c r="Y359" s="163">
        <v>0</v>
      </c>
      <c r="Z359" s="163">
        <v>0</v>
      </c>
      <c r="AA359" s="163">
        <v>39</v>
      </c>
      <c r="AB359" s="163">
        <v>1262</v>
      </c>
      <c r="AC359" s="163">
        <v>1349</v>
      </c>
      <c r="AD359" s="163">
        <v>256</v>
      </c>
      <c r="AE359" s="163">
        <v>144</v>
      </c>
      <c r="AF359" s="163">
        <v>332</v>
      </c>
      <c r="AG359" s="163">
        <v>17</v>
      </c>
      <c r="AH359" s="163">
        <v>33496000</v>
      </c>
      <c r="AI359" s="163">
        <v>34489000</v>
      </c>
    </row>
    <row r="360" spans="1:35" x14ac:dyDescent="0.2">
      <c r="A360" t="s">
        <v>631</v>
      </c>
      <c r="B360" t="s">
        <v>272</v>
      </c>
      <c r="C360" s="163">
        <v>47855576.108846501</v>
      </c>
      <c r="D360" s="163">
        <v>26969595.108846501</v>
      </c>
      <c r="E360" s="163">
        <v>17850319</v>
      </c>
      <c r="F360" s="163">
        <v>5775666.0606658002</v>
      </c>
      <c r="G360" s="163">
        <v>5139828.0606658002</v>
      </c>
      <c r="H360" s="163">
        <v>635838</v>
      </c>
      <c r="I360" s="163">
        <v>4411922.52964235</v>
      </c>
      <c r="J360" s="163">
        <v>4411922.52964235</v>
      </c>
      <c r="K360" s="163">
        <v>0</v>
      </c>
      <c r="L360" s="163">
        <v>7662730.29304865</v>
      </c>
      <c r="M360" s="163">
        <v>791084</v>
      </c>
      <c r="N360" s="163">
        <v>50254</v>
      </c>
      <c r="O360" s="163">
        <v>98668</v>
      </c>
      <c r="P360" s="163">
        <v>6722725</v>
      </c>
      <c r="Q360" s="163">
        <v>2664778</v>
      </c>
      <c r="R360" s="163">
        <v>370884</v>
      </c>
      <c r="S360" s="163">
        <v>8423861</v>
      </c>
      <c r="T360" s="163">
        <v>20243</v>
      </c>
      <c r="U360" s="163">
        <v>574000</v>
      </c>
      <c r="V360" s="163">
        <v>2608</v>
      </c>
      <c r="W360" s="163">
        <v>2756</v>
      </c>
      <c r="X360" s="163">
        <v>0</v>
      </c>
      <c r="Y360" s="163">
        <v>50</v>
      </c>
      <c r="Z360" s="163">
        <v>681</v>
      </c>
      <c r="AA360" s="163">
        <v>165</v>
      </c>
      <c r="AB360" s="163">
        <v>3820</v>
      </c>
      <c r="AC360" s="163">
        <v>2179</v>
      </c>
      <c r="AD360" s="163">
        <v>477</v>
      </c>
      <c r="AE360" s="163">
        <v>207</v>
      </c>
      <c r="AF360" s="163">
        <v>300</v>
      </c>
      <c r="AG360" s="163">
        <v>128</v>
      </c>
      <c r="AH360" s="163">
        <v>82314000</v>
      </c>
      <c r="AI360" s="163">
        <v>86990000</v>
      </c>
    </row>
    <row r="361" spans="1:35" x14ac:dyDescent="0.2">
      <c r="A361" t="s">
        <v>629</v>
      </c>
      <c r="B361" t="s">
        <v>476</v>
      </c>
      <c r="C361" s="163">
        <v>28181536.789809257</v>
      </c>
      <c r="D361" s="163">
        <v>16680150.789809257</v>
      </c>
      <c r="E361" s="163">
        <v>9661556</v>
      </c>
      <c r="F361" s="163">
        <v>4394325.68703123</v>
      </c>
      <c r="G361" s="163">
        <v>2554230.68703123</v>
      </c>
      <c r="H361" s="163">
        <v>1840095</v>
      </c>
      <c r="I361" s="163">
        <v>2822117.9132644599</v>
      </c>
      <c r="J361" s="163">
        <v>2822117.9132644599</v>
      </c>
      <c r="K361" s="163">
        <v>0</v>
      </c>
      <c r="L361" s="163">
        <v>2445112.1919463798</v>
      </c>
      <c r="M361" s="163">
        <v>146389</v>
      </c>
      <c r="N361" s="163">
        <v>41878</v>
      </c>
      <c r="O361" s="163">
        <v>80996</v>
      </c>
      <c r="P361" s="163">
        <v>2175849</v>
      </c>
      <c r="Q361" s="163">
        <v>1698038</v>
      </c>
      <c r="R361" s="163">
        <v>141792</v>
      </c>
      <c r="S361" s="163">
        <v>3812753</v>
      </c>
      <c r="T361" s="163">
        <v>931</v>
      </c>
      <c r="U361" s="163">
        <v>158000</v>
      </c>
      <c r="V361" s="163">
        <v>2507</v>
      </c>
      <c r="W361" s="163">
        <v>1741</v>
      </c>
      <c r="X361" s="163">
        <v>0</v>
      </c>
      <c r="Y361" s="163">
        <v>0</v>
      </c>
      <c r="Z361" s="163">
        <v>390</v>
      </c>
      <c r="AA361" s="163">
        <v>167</v>
      </c>
      <c r="AB361" s="163">
        <v>1893</v>
      </c>
      <c r="AC361" s="163">
        <v>1837</v>
      </c>
      <c r="AD361" s="163">
        <v>405</v>
      </c>
      <c r="AE361" s="163">
        <v>70</v>
      </c>
      <c r="AF361" s="163">
        <v>503</v>
      </c>
      <c r="AG361" s="163">
        <v>107</v>
      </c>
      <c r="AH361" s="163">
        <v>42156000</v>
      </c>
      <c r="AI361" s="163">
        <v>43699000</v>
      </c>
    </row>
    <row r="362" spans="1:35" x14ac:dyDescent="0.2">
      <c r="A362" t="s">
        <v>636</v>
      </c>
      <c r="B362" t="s">
        <v>298</v>
      </c>
      <c r="C362" s="163">
        <v>66766408.764033116</v>
      </c>
      <c r="D362" s="163">
        <v>43497484.764033116</v>
      </c>
      <c r="E362" s="163">
        <v>19785982</v>
      </c>
      <c r="F362" s="163">
        <v>8472164.6444580797</v>
      </c>
      <c r="G362" s="163">
        <v>7744014.6444580797</v>
      </c>
      <c r="H362" s="163">
        <v>728150</v>
      </c>
      <c r="I362" s="163">
        <v>5564189.89955003</v>
      </c>
      <c r="J362" s="163">
        <v>5564189.89955003</v>
      </c>
      <c r="K362" s="163">
        <v>0</v>
      </c>
      <c r="L362" s="163">
        <v>5749627.4061322296</v>
      </c>
      <c r="M362" s="163">
        <v>127805</v>
      </c>
      <c r="N362" s="163">
        <v>62818</v>
      </c>
      <c r="O362" s="163">
        <v>134011</v>
      </c>
      <c r="P362" s="163">
        <v>5424994</v>
      </c>
      <c r="Q362" s="163">
        <v>3042173</v>
      </c>
      <c r="R362" s="163">
        <v>440769</v>
      </c>
      <c r="S362" s="163">
        <v>8434733</v>
      </c>
      <c r="T362" s="163">
        <v>5466</v>
      </c>
      <c r="U362" s="163">
        <v>494000</v>
      </c>
      <c r="V362" s="163">
        <v>6922</v>
      </c>
      <c r="W362" s="163">
        <v>4161</v>
      </c>
      <c r="X362" s="163">
        <v>1658</v>
      </c>
      <c r="Y362" s="163">
        <v>91</v>
      </c>
      <c r="Z362" s="163">
        <v>73</v>
      </c>
      <c r="AA362" s="163">
        <v>538</v>
      </c>
      <c r="AB362" s="163">
        <v>4514</v>
      </c>
      <c r="AC362" s="163">
        <v>3941</v>
      </c>
      <c r="AD362" s="163">
        <v>809</v>
      </c>
      <c r="AE362" s="163">
        <v>631</v>
      </c>
      <c r="AF362" s="163">
        <v>1033</v>
      </c>
      <c r="AG362" s="163">
        <v>271</v>
      </c>
      <c r="AH362" s="163">
        <v>104411000</v>
      </c>
      <c r="AI362" s="163">
        <v>109676000</v>
      </c>
    </row>
    <row r="363" spans="1:35" x14ac:dyDescent="0.2">
      <c r="A363" t="s">
        <v>630</v>
      </c>
      <c r="B363" t="s">
        <v>343</v>
      </c>
      <c r="C363" s="163">
        <v>19064131.990893293</v>
      </c>
      <c r="D363" s="163">
        <v>12735181.990893293</v>
      </c>
      <c r="E363" s="163">
        <v>4997053</v>
      </c>
      <c r="F363" s="163">
        <v>2606672.11103696</v>
      </c>
      <c r="G363" s="163">
        <v>2252194.11103696</v>
      </c>
      <c r="H363" s="163">
        <v>354478</v>
      </c>
      <c r="I363" s="163">
        <v>1734040.65512274</v>
      </c>
      <c r="J363" s="163">
        <v>1734040.65512274</v>
      </c>
      <c r="K363" s="163">
        <v>0</v>
      </c>
      <c r="L363" s="163">
        <v>656340.13027535495</v>
      </c>
      <c r="M363" s="163">
        <v>100948</v>
      </c>
      <c r="N363" s="163">
        <v>40482</v>
      </c>
      <c r="O363" s="163">
        <v>53015</v>
      </c>
      <c r="P363" s="163">
        <v>461894</v>
      </c>
      <c r="Q363" s="163">
        <v>1160311</v>
      </c>
      <c r="R363" s="163">
        <v>171586</v>
      </c>
      <c r="S363" s="163">
        <v>2798352</v>
      </c>
      <c r="T363" s="163">
        <v>553</v>
      </c>
      <c r="U363" s="163">
        <v>57000</v>
      </c>
      <c r="V363" s="163">
        <v>2099</v>
      </c>
      <c r="W363" s="163">
        <v>900</v>
      </c>
      <c r="X363" s="163">
        <v>0</v>
      </c>
      <c r="Y363" s="163">
        <v>292</v>
      </c>
      <c r="Z363" s="163">
        <v>0</v>
      </c>
      <c r="AA363" s="163">
        <v>130</v>
      </c>
      <c r="AB363" s="163">
        <v>1607</v>
      </c>
      <c r="AC363" s="163">
        <v>2156</v>
      </c>
      <c r="AD363" s="163">
        <v>304</v>
      </c>
      <c r="AE363" s="163">
        <v>144</v>
      </c>
      <c r="AF363" s="163">
        <v>239</v>
      </c>
      <c r="AG363" s="163">
        <v>30</v>
      </c>
      <c r="AH363" s="163">
        <v>40328000</v>
      </c>
      <c r="AI363" s="163">
        <v>40088000</v>
      </c>
    </row>
    <row r="364" spans="1:35" x14ac:dyDescent="0.2">
      <c r="A364" t="s">
        <v>636</v>
      </c>
      <c r="B364" t="s">
        <v>299</v>
      </c>
      <c r="C364" s="163">
        <v>14222298.763831044</v>
      </c>
      <c r="D364" s="163">
        <v>8940037.7638310436</v>
      </c>
      <c r="E364" s="163">
        <v>4360513</v>
      </c>
      <c r="F364" s="163">
        <v>2588464.4767100899</v>
      </c>
      <c r="G364" s="163">
        <v>2202799.4767100899</v>
      </c>
      <c r="H364" s="163">
        <v>385665</v>
      </c>
      <c r="I364" s="163">
        <v>1347480.8116335201</v>
      </c>
      <c r="J364" s="163">
        <v>1347480.8116335201</v>
      </c>
      <c r="K364" s="163">
        <v>0</v>
      </c>
      <c r="L364" s="163">
        <v>424568.08183281898</v>
      </c>
      <c r="M364" s="163">
        <v>29986</v>
      </c>
      <c r="N364" s="163">
        <v>8376</v>
      </c>
      <c r="O364" s="163">
        <v>13254</v>
      </c>
      <c r="P364" s="163">
        <v>372952</v>
      </c>
      <c r="Q364" s="163">
        <v>809578</v>
      </c>
      <c r="R364" s="163">
        <v>112170</v>
      </c>
      <c r="S364" s="163">
        <v>1598026</v>
      </c>
      <c r="T364" s="163">
        <v>3608</v>
      </c>
      <c r="U364" s="163">
        <v>55000</v>
      </c>
      <c r="V364" s="163">
        <v>1660</v>
      </c>
      <c r="W364" s="163">
        <v>658</v>
      </c>
      <c r="X364" s="163">
        <v>0</v>
      </c>
      <c r="Y364" s="163">
        <v>0</v>
      </c>
      <c r="Z364" s="163">
        <v>200</v>
      </c>
      <c r="AA364" s="163">
        <v>60</v>
      </c>
      <c r="AB364" s="163">
        <v>1033</v>
      </c>
      <c r="AC364" s="163">
        <v>1203</v>
      </c>
      <c r="AD364" s="163">
        <v>171</v>
      </c>
      <c r="AE364" s="163">
        <v>200</v>
      </c>
      <c r="AF364" s="163">
        <v>281</v>
      </c>
      <c r="AG364" s="163">
        <v>6</v>
      </c>
      <c r="AH364" s="163">
        <v>38378000</v>
      </c>
      <c r="AI364" s="163">
        <v>39759000</v>
      </c>
    </row>
    <row r="365" spans="1:35" x14ac:dyDescent="0.2">
      <c r="A365" t="s">
        <v>629</v>
      </c>
      <c r="B365" t="s">
        <v>477</v>
      </c>
      <c r="C365" s="163">
        <v>18202169.829776235</v>
      </c>
      <c r="D365" s="163">
        <v>11583594.829776235</v>
      </c>
      <c r="E365" s="163">
        <v>5537986</v>
      </c>
      <c r="F365" s="163">
        <v>2667303.74428654</v>
      </c>
      <c r="G365" s="163">
        <v>2238101.74428654</v>
      </c>
      <c r="H365" s="163">
        <v>429202</v>
      </c>
      <c r="I365" s="163">
        <v>1764886.8021551</v>
      </c>
      <c r="J365" s="163">
        <v>1764886.8021551</v>
      </c>
      <c r="K365" s="163">
        <v>0</v>
      </c>
      <c r="L365" s="163">
        <v>1105795.5340905299</v>
      </c>
      <c r="M365" s="163">
        <v>36130</v>
      </c>
      <c r="N365" s="163">
        <v>18147</v>
      </c>
      <c r="O365" s="163">
        <v>57433</v>
      </c>
      <c r="P365" s="163">
        <v>994085</v>
      </c>
      <c r="Q365" s="163">
        <v>971221</v>
      </c>
      <c r="R365" s="163">
        <v>109368</v>
      </c>
      <c r="S365" s="163">
        <v>1980024</v>
      </c>
      <c r="T365" s="163">
        <v>629</v>
      </c>
      <c r="U365" s="163">
        <v>50000</v>
      </c>
      <c r="V365" s="163">
        <v>1613</v>
      </c>
      <c r="W365" s="163">
        <v>888</v>
      </c>
      <c r="X365" s="163">
        <v>0</v>
      </c>
      <c r="Y365" s="163">
        <v>16</v>
      </c>
      <c r="Z365" s="163">
        <v>56</v>
      </c>
      <c r="AA365" s="163">
        <v>62</v>
      </c>
      <c r="AB365" s="163">
        <v>1668</v>
      </c>
      <c r="AC365" s="163">
        <v>1477</v>
      </c>
      <c r="AD365" s="163">
        <v>247</v>
      </c>
      <c r="AE365" s="163">
        <v>236</v>
      </c>
      <c r="AF365" s="163">
        <v>375</v>
      </c>
      <c r="AG365" s="163">
        <v>52</v>
      </c>
      <c r="AH365" s="163">
        <v>30942000</v>
      </c>
      <c r="AI365" s="163">
        <v>32259000</v>
      </c>
    </row>
    <row r="366" spans="1:35" x14ac:dyDescent="0.2">
      <c r="A366" t="s">
        <v>630</v>
      </c>
      <c r="B366" t="s">
        <v>344</v>
      </c>
      <c r="C366" s="163">
        <v>254903695.97299862</v>
      </c>
      <c r="D366" s="163">
        <v>153134953.97299862</v>
      </c>
      <c r="E366" s="163">
        <v>80316266</v>
      </c>
      <c r="F366" s="163">
        <v>35599918.611251898</v>
      </c>
      <c r="G366" s="163">
        <v>32314518.611251898</v>
      </c>
      <c r="H366" s="163">
        <v>3285400</v>
      </c>
      <c r="I366" s="163">
        <v>30438409.411279801</v>
      </c>
      <c r="J366" s="163">
        <v>19504141.08825174</v>
      </c>
      <c r="K366" s="163">
        <v>10934268.323028062</v>
      </c>
      <c r="L366" s="163">
        <v>14277937.7692934</v>
      </c>
      <c r="M366" s="163">
        <v>4769032</v>
      </c>
      <c r="N366" s="163">
        <v>541627</v>
      </c>
      <c r="O366" s="163">
        <v>783451</v>
      </c>
      <c r="P366" s="163">
        <v>8183827</v>
      </c>
      <c r="Q366" s="163">
        <v>11481758</v>
      </c>
      <c r="R366" s="163">
        <v>9970718</v>
      </c>
      <c r="S366" s="163">
        <v>55111955</v>
      </c>
      <c r="T366" s="163">
        <v>40541</v>
      </c>
      <c r="U366" s="163">
        <v>4343000</v>
      </c>
      <c r="V366" s="163">
        <v>18373</v>
      </c>
      <c r="W366" s="163">
        <v>16495</v>
      </c>
      <c r="X366" s="163">
        <v>2971</v>
      </c>
      <c r="Y366" s="163">
        <v>246</v>
      </c>
      <c r="Z366" s="163">
        <v>754</v>
      </c>
      <c r="AA366" s="163">
        <v>1003</v>
      </c>
      <c r="AB366" s="163">
        <v>21967</v>
      </c>
      <c r="AC366" s="163">
        <v>19482</v>
      </c>
      <c r="AD366" s="163">
        <v>2982</v>
      </c>
      <c r="AE366" s="163">
        <v>1032</v>
      </c>
      <c r="AF366" s="163">
        <v>6278</v>
      </c>
      <c r="AG366" s="163">
        <v>1312</v>
      </c>
      <c r="AH366" s="163">
        <v>450330000</v>
      </c>
      <c r="AI366" s="163">
        <v>433499000</v>
      </c>
    </row>
    <row r="367" spans="1:35" x14ac:dyDescent="0.2">
      <c r="A367" t="s">
        <v>631</v>
      </c>
      <c r="B367" t="s">
        <v>273</v>
      </c>
      <c r="C367" s="163">
        <v>35873089.820631891</v>
      </c>
      <c r="D367" s="163">
        <v>22134602.820631891</v>
      </c>
      <c r="E367" s="163">
        <v>11788834</v>
      </c>
      <c r="F367" s="163">
        <v>5303228.3875712696</v>
      </c>
      <c r="G367" s="163">
        <v>4425853.3875712696</v>
      </c>
      <c r="H367" s="163">
        <v>877375</v>
      </c>
      <c r="I367" s="163">
        <v>3094270.7657029601</v>
      </c>
      <c r="J367" s="163">
        <v>3094270.7657029601</v>
      </c>
      <c r="K367" s="163">
        <v>0</v>
      </c>
      <c r="L367" s="163">
        <v>3391334.99778764</v>
      </c>
      <c r="M367" s="163">
        <v>135754</v>
      </c>
      <c r="N367" s="163">
        <v>32107</v>
      </c>
      <c r="O367" s="163">
        <v>106031</v>
      </c>
      <c r="P367" s="163">
        <v>3117444</v>
      </c>
      <c r="Q367" s="163">
        <v>1689866</v>
      </c>
      <c r="R367" s="163">
        <v>259787</v>
      </c>
      <c r="S367" s="163">
        <v>4457801</v>
      </c>
      <c r="T367" s="163">
        <v>15188</v>
      </c>
      <c r="U367" s="163">
        <v>411000</v>
      </c>
      <c r="V367" s="163">
        <v>3240</v>
      </c>
      <c r="W367" s="163">
        <v>3077</v>
      </c>
      <c r="X367" s="163">
        <v>684</v>
      </c>
      <c r="Y367" s="163">
        <v>2075</v>
      </c>
      <c r="Z367" s="163">
        <v>223</v>
      </c>
      <c r="AA367" s="163">
        <v>124</v>
      </c>
      <c r="AB367" s="163">
        <v>3548</v>
      </c>
      <c r="AC367" s="163">
        <v>0</v>
      </c>
      <c r="AD367" s="163">
        <v>554</v>
      </c>
      <c r="AE367" s="163">
        <v>418</v>
      </c>
      <c r="AF367" s="163">
        <v>998</v>
      </c>
      <c r="AG367" s="163">
        <v>66</v>
      </c>
      <c r="AH367" s="163">
        <v>65702000</v>
      </c>
      <c r="AI367" s="163">
        <v>65383000</v>
      </c>
    </row>
    <row r="368" spans="1:35" x14ac:dyDescent="0.2">
      <c r="A368" t="s">
        <v>630</v>
      </c>
      <c r="B368" t="s">
        <v>345</v>
      </c>
      <c r="C368" s="163">
        <v>22185573.698891804</v>
      </c>
      <c r="D368" s="163">
        <v>14294638.698891804</v>
      </c>
      <c r="E368" s="163">
        <v>6113852</v>
      </c>
      <c r="F368" s="163">
        <v>2691302.4283849099</v>
      </c>
      <c r="G368" s="163">
        <v>2579564.4283849099</v>
      </c>
      <c r="H368" s="163">
        <v>111738</v>
      </c>
      <c r="I368" s="163">
        <v>2286849.5829619402</v>
      </c>
      <c r="J368" s="163">
        <v>2286849.5829619402</v>
      </c>
      <c r="K368" s="163">
        <v>0</v>
      </c>
      <c r="L368" s="163">
        <v>1135699.6629774501</v>
      </c>
      <c r="M368" s="163">
        <v>430813</v>
      </c>
      <c r="N368" s="163">
        <v>30711</v>
      </c>
      <c r="O368" s="163">
        <v>41234</v>
      </c>
      <c r="P368" s="163">
        <v>632942</v>
      </c>
      <c r="Q368" s="163">
        <v>1614746</v>
      </c>
      <c r="R368" s="163">
        <v>162337</v>
      </c>
      <c r="S368" s="163">
        <v>5140189</v>
      </c>
      <c r="T368" s="163">
        <v>5987</v>
      </c>
      <c r="U368" s="163">
        <v>101000</v>
      </c>
      <c r="V368" s="163">
        <v>2850</v>
      </c>
      <c r="W368" s="163">
        <v>1246</v>
      </c>
      <c r="X368" s="163">
        <v>4400</v>
      </c>
      <c r="Y368" s="163">
        <v>621</v>
      </c>
      <c r="Z368" s="163">
        <v>2300</v>
      </c>
      <c r="AA368" s="163">
        <v>719</v>
      </c>
      <c r="AB368" s="163">
        <v>1995</v>
      </c>
      <c r="AC368" s="163">
        <v>2080</v>
      </c>
      <c r="AD368" s="163">
        <v>351</v>
      </c>
      <c r="AE368" s="163">
        <v>239</v>
      </c>
      <c r="AF368" s="163">
        <v>110</v>
      </c>
      <c r="AG368" s="163">
        <v>169</v>
      </c>
      <c r="AH368" s="163">
        <v>47696000</v>
      </c>
      <c r="AI368" s="163">
        <v>48612000</v>
      </c>
    </row>
    <row r="369" spans="1:35" x14ac:dyDescent="0.2">
      <c r="A369" t="s">
        <v>633</v>
      </c>
      <c r="B369" t="s">
        <v>398</v>
      </c>
      <c r="C369" s="163">
        <v>16375478.210592564</v>
      </c>
      <c r="D369" s="163">
        <v>11021000.210592564</v>
      </c>
      <c r="E369" s="163">
        <v>4292625</v>
      </c>
      <c r="F369" s="163">
        <v>2093248.33768688</v>
      </c>
      <c r="G369" s="163">
        <v>1812875.33768688</v>
      </c>
      <c r="H369" s="163">
        <v>280373</v>
      </c>
      <c r="I369" s="163">
        <v>1512467.7835536699</v>
      </c>
      <c r="J369" s="163">
        <v>1512467.7835536699</v>
      </c>
      <c r="K369" s="163">
        <v>0</v>
      </c>
      <c r="L369" s="163">
        <v>686908.83235774597</v>
      </c>
      <c r="M369" s="163">
        <v>34049</v>
      </c>
      <c r="N369" s="163">
        <v>16751</v>
      </c>
      <c r="O369" s="163">
        <v>39762</v>
      </c>
      <c r="P369" s="163">
        <v>596347</v>
      </c>
      <c r="Q369" s="163">
        <v>863669</v>
      </c>
      <c r="R369" s="163">
        <v>198184</v>
      </c>
      <c r="S369" s="163">
        <v>1338466</v>
      </c>
      <c r="T369" s="163">
        <v>392</v>
      </c>
      <c r="U369" s="163">
        <v>50000</v>
      </c>
      <c r="V369" s="163">
        <v>1704</v>
      </c>
      <c r="W369" s="163">
        <v>1014</v>
      </c>
      <c r="X369" s="163">
        <v>0</v>
      </c>
      <c r="Y369" s="163">
        <v>837</v>
      </c>
      <c r="Z369" s="163">
        <v>67</v>
      </c>
      <c r="AA369" s="163">
        <v>0</v>
      </c>
      <c r="AB369" s="163">
        <v>1410</v>
      </c>
      <c r="AC369" s="163">
        <v>1046</v>
      </c>
      <c r="AD369" s="163">
        <v>235</v>
      </c>
      <c r="AE369" s="163">
        <v>210</v>
      </c>
      <c r="AF369" s="163">
        <v>454</v>
      </c>
      <c r="AG369" s="163">
        <v>25</v>
      </c>
      <c r="AH369" s="163">
        <v>25582000</v>
      </c>
      <c r="AI369" s="163">
        <v>26222000</v>
      </c>
    </row>
    <row r="370" spans="1:35" x14ac:dyDescent="0.2">
      <c r="A370" t="s">
        <v>635</v>
      </c>
      <c r="B370" t="s">
        <v>516</v>
      </c>
      <c r="C370" s="163">
        <v>27467519.391028956</v>
      </c>
      <c r="D370" s="163">
        <v>18907152.391028956</v>
      </c>
      <c r="E370" s="163">
        <v>7342673</v>
      </c>
      <c r="F370" s="163">
        <v>5005567.4620690104</v>
      </c>
      <c r="G370" s="163">
        <v>4121158.4620690104</v>
      </c>
      <c r="H370" s="163">
        <v>884409</v>
      </c>
      <c r="I370" s="163">
        <v>1840204.37982426</v>
      </c>
      <c r="J370" s="163">
        <v>1840204.37982426</v>
      </c>
      <c r="K370" s="163">
        <v>0</v>
      </c>
      <c r="L370" s="163">
        <v>496900.87495715101</v>
      </c>
      <c r="M370" s="163">
        <v>63084</v>
      </c>
      <c r="N370" s="163">
        <v>27919</v>
      </c>
      <c r="O370" s="163">
        <v>47125</v>
      </c>
      <c r="P370" s="163">
        <v>358773</v>
      </c>
      <c r="Q370" s="163">
        <v>947283</v>
      </c>
      <c r="R370" s="163">
        <v>270411</v>
      </c>
      <c r="S370" s="163">
        <v>4284665</v>
      </c>
      <c r="T370" s="163">
        <v>9924</v>
      </c>
      <c r="U370" s="163">
        <v>0</v>
      </c>
      <c r="V370" s="163">
        <v>2482</v>
      </c>
      <c r="W370" s="163">
        <v>2472</v>
      </c>
      <c r="X370" s="163">
        <v>0</v>
      </c>
      <c r="Y370" s="163">
        <v>935</v>
      </c>
      <c r="Z370" s="163">
        <v>2225</v>
      </c>
      <c r="AA370" s="163">
        <v>393</v>
      </c>
      <c r="AB370" s="163">
        <v>1349</v>
      </c>
      <c r="AC370" s="163">
        <v>2032</v>
      </c>
      <c r="AD370" s="163">
        <v>377</v>
      </c>
      <c r="AE370" s="163">
        <v>83</v>
      </c>
      <c r="AF370" s="163">
        <v>1027</v>
      </c>
      <c r="AG370" s="163">
        <v>60</v>
      </c>
      <c r="AH370" s="163">
        <v>45828000</v>
      </c>
      <c r="AI370" s="163">
        <v>44899000</v>
      </c>
    </row>
    <row r="371" spans="1:35" x14ac:dyDescent="0.2">
      <c r="A371" t="s">
        <v>636</v>
      </c>
      <c r="B371" t="s">
        <v>300</v>
      </c>
      <c r="C371" s="163">
        <v>93381740.44189769</v>
      </c>
      <c r="D371" s="163">
        <v>54461247.44189769</v>
      </c>
      <c r="E371" s="163">
        <v>33410641</v>
      </c>
      <c r="F371" s="163">
        <v>18183543.424732499</v>
      </c>
      <c r="G371" s="163">
        <v>10832057.361232499</v>
      </c>
      <c r="H371" s="163">
        <v>7351486.0635000002</v>
      </c>
      <c r="I371" s="163">
        <v>8449139.0656393804</v>
      </c>
      <c r="J371" s="163">
        <v>8449139.0656393804</v>
      </c>
      <c r="K371" s="163">
        <v>0</v>
      </c>
      <c r="L371" s="163">
        <v>6777958.0298058502</v>
      </c>
      <c r="M371" s="163">
        <v>1524607</v>
      </c>
      <c r="N371" s="163">
        <v>161930</v>
      </c>
      <c r="O371" s="163">
        <v>301894</v>
      </c>
      <c r="P371" s="163">
        <v>4789527</v>
      </c>
      <c r="Q371" s="163">
        <v>4839288</v>
      </c>
      <c r="R371" s="163">
        <v>670564</v>
      </c>
      <c r="S371" s="163">
        <v>17297605</v>
      </c>
      <c r="T371" s="163">
        <v>22768</v>
      </c>
      <c r="U371" s="163">
        <v>1006000</v>
      </c>
      <c r="V371" s="163">
        <v>6704</v>
      </c>
      <c r="W371" s="163">
        <v>4802</v>
      </c>
      <c r="X371" s="163">
        <v>2616</v>
      </c>
      <c r="Y371" s="163">
        <v>128</v>
      </c>
      <c r="Z371" s="163">
        <v>310</v>
      </c>
      <c r="AA371" s="163">
        <v>588</v>
      </c>
      <c r="AB371" s="163">
        <v>4324</v>
      </c>
      <c r="AC371" s="163">
        <v>5729</v>
      </c>
      <c r="AD371" s="163">
        <v>1321</v>
      </c>
      <c r="AE371" s="163">
        <v>774</v>
      </c>
      <c r="AF371" s="163">
        <v>3587</v>
      </c>
      <c r="AG371" s="163">
        <v>121</v>
      </c>
      <c r="AH371" s="163">
        <v>139962000</v>
      </c>
      <c r="AI371" s="163">
        <v>141955000</v>
      </c>
    </row>
    <row r="372" spans="1:35" x14ac:dyDescent="0.2">
      <c r="A372" t="s">
        <v>631</v>
      </c>
      <c r="B372" s="249" t="s">
        <v>274</v>
      </c>
      <c r="C372" s="163">
        <v>63315460.383809462</v>
      </c>
      <c r="D372" s="163">
        <v>37976953.383809462</v>
      </c>
      <c r="E372" s="163">
        <v>21108971</v>
      </c>
      <c r="F372" s="163">
        <v>8836443.1118411906</v>
      </c>
      <c r="G372" s="163">
        <v>7826363.1118411906</v>
      </c>
      <c r="H372" s="163">
        <v>1010080</v>
      </c>
      <c r="I372" s="163">
        <v>6251263.5214726701</v>
      </c>
      <c r="J372" s="163">
        <v>6251263.5214726701</v>
      </c>
      <c r="K372" s="163">
        <v>0</v>
      </c>
      <c r="L372" s="163">
        <v>6021264.4412878808</v>
      </c>
      <c r="M372" s="163">
        <v>1008482</v>
      </c>
      <c r="N372" s="163">
        <v>111676</v>
      </c>
      <c r="O372" s="163">
        <v>220898</v>
      </c>
      <c r="P372" s="163">
        <v>4680208</v>
      </c>
      <c r="Q372" s="163">
        <v>3802483</v>
      </c>
      <c r="R372" s="163">
        <v>427053</v>
      </c>
      <c r="S372" s="163">
        <v>11240879</v>
      </c>
      <c r="T372" s="163">
        <v>4191</v>
      </c>
      <c r="U372" s="163">
        <v>259000</v>
      </c>
      <c r="V372" s="163" t="s">
        <v>844</v>
      </c>
      <c r="W372" s="163" t="s">
        <v>844</v>
      </c>
      <c r="X372" s="163" t="s">
        <v>844</v>
      </c>
      <c r="Y372" s="163" t="s">
        <v>844</v>
      </c>
      <c r="Z372" s="163" t="s">
        <v>844</v>
      </c>
      <c r="AA372" s="163" t="s">
        <v>844</v>
      </c>
      <c r="AB372" s="163" t="s">
        <v>844</v>
      </c>
      <c r="AC372" s="163" t="s">
        <v>844</v>
      </c>
      <c r="AD372" s="163" t="s">
        <v>844</v>
      </c>
      <c r="AE372" s="163" t="s">
        <v>844</v>
      </c>
      <c r="AF372" s="163" t="s">
        <v>844</v>
      </c>
      <c r="AG372" s="163" t="s">
        <v>844</v>
      </c>
      <c r="AH372" s="163">
        <v>105003000</v>
      </c>
      <c r="AI372" s="163">
        <v>102027000</v>
      </c>
    </row>
    <row r="373" spans="1:35" x14ac:dyDescent="0.2">
      <c r="A373" t="s">
        <v>633</v>
      </c>
      <c r="B373" t="s">
        <v>399</v>
      </c>
      <c r="C373" s="163">
        <v>184337284.89032465</v>
      </c>
      <c r="D373" s="163">
        <v>117224787.89032465</v>
      </c>
      <c r="E373" s="163">
        <v>56983748</v>
      </c>
      <c r="F373" s="163">
        <v>31411878.1384</v>
      </c>
      <c r="G373" s="163">
        <v>26966716.1384</v>
      </c>
      <c r="H373" s="163">
        <v>4445162</v>
      </c>
      <c r="I373" s="163">
        <v>14171268.539840201</v>
      </c>
      <c r="J373" s="163">
        <v>14171268.539840201</v>
      </c>
      <c r="K373" s="163">
        <v>0</v>
      </c>
      <c r="L373" s="163">
        <v>11400600.8843315</v>
      </c>
      <c r="M373" s="163">
        <v>3355181</v>
      </c>
      <c r="N373" s="163">
        <v>379698</v>
      </c>
      <c r="O373" s="163">
        <v>518374</v>
      </c>
      <c r="P373" s="163">
        <v>7147349</v>
      </c>
      <c r="Q373" s="163">
        <v>8421664</v>
      </c>
      <c r="R373" s="163">
        <v>1707085</v>
      </c>
      <c r="S373" s="163">
        <v>43457796</v>
      </c>
      <c r="T373" s="163">
        <v>5372</v>
      </c>
      <c r="U373" s="163">
        <v>1695000</v>
      </c>
      <c r="V373" s="163">
        <v>19870</v>
      </c>
      <c r="W373" s="163">
        <v>13257</v>
      </c>
      <c r="X373" s="163">
        <v>2054</v>
      </c>
      <c r="Y373" s="163">
        <v>304</v>
      </c>
      <c r="Z373" s="163">
        <v>255</v>
      </c>
      <c r="AA373" s="163">
        <v>636</v>
      </c>
      <c r="AB373" s="163">
        <v>6295</v>
      </c>
      <c r="AC373" s="163">
        <v>13965</v>
      </c>
      <c r="AD373" s="163">
        <v>2591</v>
      </c>
      <c r="AE373" s="163">
        <v>612</v>
      </c>
      <c r="AF373" s="163">
        <v>1438</v>
      </c>
      <c r="AG373" s="163">
        <v>305</v>
      </c>
      <c r="AH373" s="163">
        <v>362655000</v>
      </c>
      <c r="AI373" s="163">
        <v>371674000</v>
      </c>
    </row>
    <row r="374" spans="1:35" x14ac:dyDescent="0.2">
      <c r="A374" t="s">
        <v>633</v>
      </c>
      <c r="B374" t="s">
        <v>400</v>
      </c>
      <c r="C374" s="163">
        <v>9376478.4510745779</v>
      </c>
      <c r="D374" s="163">
        <v>6082509.4510745779</v>
      </c>
      <c r="E374" s="163">
        <v>2632386</v>
      </c>
      <c r="F374" s="163">
        <v>1442101.1411324199</v>
      </c>
      <c r="G374" s="163">
        <v>1375775.1411324199</v>
      </c>
      <c r="H374" s="163">
        <v>66326</v>
      </c>
      <c r="I374" s="163">
        <v>1143650.4643675401</v>
      </c>
      <c r="J374" s="163">
        <v>1143650.4643675401</v>
      </c>
      <c r="K374" s="163">
        <v>0</v>
      </c>
      <c r="L374" s="163">
        <v>46634.200300431003</v>
      </c>
      <c r="M374" s="163">
        <v>20663</v>
      </c>
      <c r="N374" s="163">
        <v>9772</v>
      </c>
      <c r="O374" s="163">
        <v>16199</v>
      </c>
      <c r="P374" s="163">
        <v>0</v>
      </c>
      <c r="Q374" s="163">
        <v>630505</v>
      </c>
      <c r="R374" s="163">
        <v>31078</v>
      </c>
      <c r="S374" s="163">
        <v>848819</v>
      </c>
      <c r="T374" s="163">
        <v>0</v>
      </c>
      <c r="U374" s="163">
        <v>50000</v>
      </c>
      <c r="V374" s="163">
        <v>1189</v>
      </c>
      <c r="W374" s="163">
        <v>2522</v>
      </c>
      <c r="X374" s="163">
        <v>0</v>
      </c>
      <c r="Y374" s="163">
        <v>710</v>
      </c>
      <c r="Z374" s="163">
        <v>0</v>
      </c>
      <c r="AA374" s="163">
        <v>0</v>
      </c>
      <c r="AB374" s="163">
        <v>1018</v>
      </c>
      <c r="AC374" s="163">
        <v>597</v>
      </c>
      <c r="AD374" s="163">
        <v>145</v>
      </c>
      <c r="AE374" s="163">
        <v>5</v>
      </c>
      <c r="AF374" s="163">
        <v>302</v>
      </c>
      <c r="AG374" s="163">
        <v>27</v>
      </c>
      <c r="AH374" s="163">
        <v>19495000</v>
      </c>
      <c r="AI374" s="163">
        <v>19624000</v>
      </c>
    </row>
    <row r="375" spans="1:35" x14ac:dyDescent="0.2">
      <c r="A375" t="s">
        <v>637</v>
      </c>
      <c r="B375" t="s">
        <v>178</v>
      </c>
      <c r="C375" s="163">
        <v>25902993.497470975</v>
      </c>
      <c r="D375" s="163">
        <v>16130585.497470975</v>
      </c>
      <c r="E375" s="163">
        <v>8388744</v>
      </c>
      <c r="F375" s="163">
        <v>4492259.7460617097</v>
      </c>
      <c r="G375" s="163">
        <v>3653198.7460617097</v>
      </c>
      <c r="H375" s="163">
        <v>839061</v>
      </c>
      <c r="I375" s="163">
        <v>2148489.7029190199</v>
      </c>
      <c r="J375" s="163">
        <v>2148489.7029190199</v>
      </c>
      <c r="K375" s="163">
        <v>0</v>
      </c>
      <c r="L375" s="163">
        <v>1747994.4786279399</v>
      </c>
      <c r="M375" s="163">
        <v>162864</v>
      </c>
      <c r="N375" s="163">
        <v>29315</v>
      </c>
      <c r="O375" s="163">
        <v>39762</v>
      </c>
      <c r="P375" s="163">
        <v>1516054</v>
      </c>
      <c r="Q375" s="163">
        <v>1192015</v>
      </c>
      <c r="R375" s="163">
        <v>191649</v>
      </c>
      <c r="S375" s="163">
        <v>3059430</v>
      </c>
      <c r="T375" s="163">
        <v>5569</v>
      </c>
      <c r="U375" s="163">
        <v>0</v>
      </c>
      <c r="V375" s="163">
        <v>2392</v>
      </c>
      <c r="W375" s="163">
        <v>2418</v>
      </c>
      <c r="X375" s="163">
        <v>4</v>
      </c>
      <c r="Y375" s="163">
        <v>0</v>
      </c>
      <c r="Z375" s="163">
        <v>0</v>
      </c>
      <c r="AA375" s="163">
        <v>27</v>
      </c>
      <c r="AB375" s="163">
        <v>1330</v>
      </c>
      <c r="AC375" s="163">
        <v>1726</v>
      </c>
      <c r="AD375" s="163">
        <v>300</v>
      </c>
      <c r="AE375" s="163">
        <v>171</v>
      </c>
      <c r="AF375" s="163">
        <v>532</v>
      </c>
      <c r="AG375" s="163">
        <v>13</v>
      </c>
      <c r="AH375" s="163">
        <v>40720000</v>
      </c>
      <c r="AI375" s="163">
        <v>41605000</v>
      </c>
    </row>
    <row r="376" spans="1:35" x14ac:dyDescent="0.2">
      <c r="A376" t="s">
        <v>633</v>
      </c>
      <c r="B376" t="s">
        <v>401</v>
      </c>
      <c r="C376" s="163">
        <v>47299031.913247377</v>
      </c>
      <c r="D376" s="163">
        <v>31332955.913247377</v>
      </c>
      <c r="E376" s="163">
        <v>13362668</v>
      </c>
      <c r="F376" s="163">
        <v>7029873.3334428398</v>
      </c>
      <c r="G376" s="163">
        <v>5277872.3334428398</v>
      </c>
      <c r="H376" s="163">
        <v>1752001</v>
      </c>
      <c r="I376" s="163">
        <v>3961202.8122841502</v>
      </c>
      <c r="J376" s="163">
        <v>3961202.8122841502</v>
      </c>
      <c r="K376" s="163">
        <v>0</v>
      </c>
      <c r="L376" s="163">
        <v>2371592.2769388598</v>
      </c>
      <c r="M376" s="163">
        <v>232138</v>
      </c>
      <c r="N376" s="163">
        <v>64214</v>
      </c>
      <c r="O376" s="163">
        <v>106031</v>
      </c>
      <c r="P376" s="163">
        <v>1969210</v>
      </c>
      <c r="Q376" s="163">
        <v>2238499</v>
      </c>
      <c r="R376" s="163">
        <v>364909</v>
      </c>
      <c r="S376" s="163">
        <v>6849049</v>
      </c>
      <c r="T376" s="163">
        <v>566</v>
      </c>
      <c r="U376" s="163">
        <v>202000</v>
      </c>
      <c r="V376" s="163">
        <v>5065</v>
      </c>
      <c r="W376" s="163">
        <v>2503</v>
      </c>
      <c r="X376" s="163">
        <v>15</v>
      </c>
      <c r="Y376" s="163">
        <v>1906</v>
      </c>
      <c r="Z376" s="163">
        <v>108</v>
      </c>
      <c r="AA376" s="163">
        <v>353</v>
      </c>
      <c r="AB376" s="163">
        <v>4783</v>
      </c>
      <c r="AC376" s="163">
        <v>4236</v>
      </c>
      <c r="AD376" s="163">
        <v>656</v>
      </c>
      <c r="AE376" s="163">
        <v>561</v>
      </c>
      <c r="AF376" s="163">
        <v>975</v>
      </c>
      <c r="AG376" s="163">
        <v>51</v>
      </c>
      <c r="AH376" s="163">
        <v>99051000</v>
      </c>
      <c r="AI376" s="163">
        <v>99993000</v>
      </c>
    </row>
    <row r="377" spans="1:35" x14ac:dyDescent="0.2">
      <c r="A377" t="s">
        <v>629</v>
      </c>
      <c r="B377" t="s">
        <v>478</v>
      </c>
      <c r="C377" s="163">
        <v>26859381.933918547</v>
      </c>
      <c r="D377" s="163">
        <v>16040336.933918547</v>
      </c>
      <c r="E377" s="163">
        <v>8833519</v>
      </c>
      <c r="F377" s="163">
        <v>3474232.29933924</v>
      </c>
      <c r="G377" s="163">
        <v>2497331.29933924</v>
      </c>
      <c r="H377" s="163">
        <v>976901</v>
      </c>
      <c r="I377" s="163">
        <v>3148575.08075557</v>
      </c>
      <c r="J377" s="163">
        <v>3148575.08075557</v>
      </c>
      <c r="K377" s="163">
        <v>0</v>
      </c>
      <c r="L377" s="163">
        <v>2210711.9178007999</v>
      </c>
      <c r="M377" s="163">
        <v>61155</v>
      </c>
      <c r="N377" s="163">
        <v>22335</v>
      </c>
      <c r="O377" s="163">
        <v>50070</v>
      </c>
      <c r="P377" s="163">
        <v>2077151</v>
      </c>
      <c r="Q377" s="163">
        <v>1852279</v>
      </c>
      <c r="R377" s="163">
        <v>133247</v>
      </c>
      <c r="S377" s="163">
        <v>3109997</v>
      </c>
      <c r="T377" s="163">
        <v>3739</v>
      </c>
      <c r="U377" s="163">
        <v>180000</v>
      </c>
      <c r="V377" s="163">
        <v>3046</v>
      </c>
      <c r="W377" s="163">
        <v>1263</v>
      </c>
      <c r="X377" s="163">
        <v>0</v>
      </c>
      <c r="Y377" s="163">
        <v>0</v>
      </c>
      <c r="Z377" s="163">
        <v>189</v>
      </c>
      <c r="AA377" s="163">
        <v>83</v>
      </c>
      <c r="AB377" s="163">
        <v>2508</v>
      </c>
      <c r="AC377" s="163">
        <v>1529</v>
      </c>
      <c r="AD377" s="163">
        <v>344</v>
      </c>
      <c r="AE377" s="163">
        <v>2</v>
      </c>
      <c r="AF377" s="163">
        <v>702</v>
      </c>
      <c r="AG377" s="163">
        <v>115</v>
      </c>
      <c r="AH377" s="163">
        <v>41746000</v>
      </c>
      <c r="AI377" s="163">
        <v>42283000</v>
      </c>
    </row>
    <row r="378" spans="1:35" x14ac:dyDescent="0.2">
      <c r="A378" t="s">
        <v>631</v>
      </c>
      <c r="B378" t="s">
        <v>275</v>
      </c>
      <c r="C378" s="163">
        <v>86675297.032100022</v>
      </c>
      <c r="D378" s="163">
        <v>47036300.032100022</v>
      </c>
      <c r="E378" s="163">
        <v>34862013</v>
      </c>
      <c r="F378" s="163">
        <v>14684479.7693107</v>
      </c>
      <c r="G378" s="163">
        <v>12330910.981310699</v>
      </c>
      <c r="H378" s="163">
        <v>2353568.7880000002</v>
      </c>
      <c r="I378" s="163">
        <v>7585073.2645806298</v>
      </c>
      <c r="J378" s="163">
        <v>7585073.2645806298</v>
      </c>
      <c r="K378" s="163">
        <v>0</v>
      </c>
      <c r="L378" s="163">
        <v>12592459.466753701</v>
      </c>
      <c r="M378" s="163">
        <v>2169688</v>
      </c>
      <c r="N378" s="163">
        <v>161930</v>
      </c>
      <c r="O378" s="163">
        <v>449159</v>
      </c>
      <c r="P378" s="163">
        <v>9811683</v>
      </c>
      <c r="Q378" s="163">
        <v>4162125</v>
      </c>
      <c r="R378" s="163">
        <v>614859</v>
      </c>
      <c r="S378" s="163">
        <v>19407686</v>
      </c>
      <c r="T378" s="163">
        <v>35270</v>
      </c>
      <c r="U378" s="163">
        <v>387000</v>
      </c>
      <c r="V378" s="163">
        <v>5084</v>
      </c>
      <c r="W378" s="163">
        <v>3741</v>
      </c>
      <c r="X378" s="163">
        <v>2089</v>
      </c>
      <c r="Y378" s="163">
        <v>1584</v>
      </c>
      <c r="Z378" s="163">
        <v>144</v>
      </c>
      <c r="AA378" s="163">
        <v>785</v>
      </c>
      <c r="AB378" s="163">
        <v>4104</v>
      </c>
      <c r="AC378" s="163">
        <v>4076</v>
      </c>
      <c r="AD378" s="163">
        <v>808</v>
      </c>
      <c r="AE378" s="163">
        <v>334</v>
      </c>
      <c r="AF378" s="163">
        <v>951</v>
      </c>
      <c r="AG378" s="163">
        <v>261</v>
      </c>
      <c r="AH378" s="163">
        <v>161189000</v>
      </c>
      <c r="AI378" s="163">
        <v>173159000</v>
      </c>
    </row>
    <row r="379" spans="1:35" x14ac:dyDescent="0.2">
      <c r="A379" t="s">
        <v>634</v>
      </c>
      <c r="B379" t="s">
        <v>221</v>
      </c>
      <c r="C379" s="163">
        <v>27333604.58951297</v>
      </c>
      <c r="D379" s="163">
        <v>17424922.58951297</v>
      </c>
      <c r="E379" s="163">
        <v>8466674</v>
      </c>
      <c r="F379" s="163">
        <v>4928334.9017873099</v>
      </c>
      <c r="G379" s="163">
        <v>4102221.9017873099</v>
      </c>
      <c r="H379" s="163">
        <v>826113</v>
      </c>
      <c r="I379" s="163">
        <v>2375963.5409363001</v>
      </c>
      <c r="J379" s="163">
        <v>2375963.5409363001</v>
      </c>
      <c r="K379" s="163">
        <v>0</v>
      </c>
      <c r="L379" s="163">
        <v>1162375.4845256701</v>
      </c>
      <c r="M379" s="163">
        <v>72400</v>
      </c>
      <c r="N379" s="163">
        <v>51650</v>
      </c>
      <c r="O379" s="163">
        <v>85414</v>
      </c>
      <c r="P379" s="163">
        <v>952912</v>
      </c>
      <c r="Q379" s="163">
        <v>1269822</v>
      </c>
      <c r="R379" s="163">
        <v>172186</v>
      </c>
      <c r="S379" s="163">
        <v>2965448</v>
      </c>
      <c r="T379" s="163">
        <v>2538</v>
      </c>
      <c r="U379" s="163">
        <v>58000</v>
      </c>
      <c r="V379" s="163">
        <v>1967</v>
      </c>
      <c r="W379" s="163">
        <v>2482</v>
      </c>
      <c r="X379" s="163">
        <v>0</v>
      </c>
      <c r="Y379" s="163">
        <v>17</v>
      </c>
      <c r="Z379" s="163">
        <v>50</v>
      </c>
      <c r="AA379" s="163">
        <v>91</v>
      </c>
      <c r="AB379" s="163">
        <v>3319</v>
      </c>
      <c r="AC379" s="163">
        <v>1206</v>
      </c>
      <c r="AD379" s="163">
        <v>305</v>
      </c>
      <c r="AE379" s="163">
        <v>415</v>
      </c>
      <c r="AF379" s="163">
        <v>900</v>
      </c>
      <c r="AG379" s="163">
        <v>318</v>
      </c>
      <c r="AH379" s="163">
        <v>46104000</v>
      </c>
      <c r="AI379" s="163">
        <v>46070000</v>
      </c>
    </row>
    <row r="380" spans="1:35" x14ac:dyDescent="0.2">
      <c r="A380" t="s">
        <v>633</v>
      </c>
      <c r="B380" t="s">
        <v>402</v>
      </c>
      <c r="C380" s="163">
        <v>66530454.37889576</v>
      </c>
      <c r="D380" s="163">
        <v>41492795.37889576</v>
      </c>
      <c r="E380" s="163">
        <v>20524390</v>
      </c>
      <c r="F380" s="163">
        <v>9891432.6435749605</v>
      </c>
      <c r="G380" s="163">
        <v>8624307.6435749605</v>
      </c>
      <c r="H380" s="163">
        <v>1267125</v>
      </c>
      <c r="I380" s="163">
        <v>5745403.0665303702</v>
      </c>
      <c r="J380" s="163">
        <v>5745403.0665303702</v>
      </c>
      <c r="K380" s="163">
        <v>0</v>
      </c>
      <c r="L380" s="163">
        <v>4887554.6762174703</v>
      </c>
      <c r="M380" s="163">
        <v>1236254</v>
      </c>
      <c r="N380" s="163">
        <v>92132</v>
      </c>
      <c r="O380" s="163">
        <v>176718</v>
      </c>
      <c r="P380" s="163">
        <v>3382450</v>
      </c>
      <c r="Q380" s="163">
        <v>3935105</v>
      </c>
      <c r="R380" s="163">
        <v>578164</v>
      </c>
      <c r="S380" s="163">
        <v>14070467</v>
      </c>
      <c r="T380" s="163">
        <v>3572</v>
      </c>
      <c r="U380" s="163">
        <v>494000</v>
      </c>
      <c r="V380" s="163">
        <v>4827</v>
      </c>
      <c r="W380" s="163">
        <v>4795</v>
      </c>
      <c r="X380" s="163">
        <v>355</v>
      </c>
      <c r="Y380" s="163">
        <v>1411</v>
      </c>
      <c r="Z380" s="163">
        <v>0</v>
      </c>
      <c r="AA380" s="163">
        <v>256</v>
      </c>
      <c r="AB380" s="163">
        <v>5990</v>
      </c>
      <c r="AC380" s="163">
        <v>6184</v>
      </c>
      <c r="AD380" s="163">
        <v>833</v>
      </c>
      <c r="AE380" s="163">
        <v>744</v>
      </c>
      <c r="AF380" s="163">
        <v>514</v>
      </c>
      <c r="AG380" s="163">
        <v>120</v>
      </c>
      <c r="AH380" s="163">
        <v>114650000</v>
      </c>
      <c r="AI380" s="163">
        <v>115341000</v>
      </c>
    </row>
    <row r="381" spans="1:35" x14ac:dyDescent="0.2">
      <c r="A381" t="s">
        <v>634</v>
      </c>
      <c r="B381" t="s">
        <v>222</v>
      </c>
      <c r="C381" s="163">
        <v>272687058.50235605</v>
      </c>
      <c r="D381" s="163">
        <v>118536576.50235605</v>
      </c>
      <c r="E381" s="163">
        <v>130239860</v>
      </c>
      <c r="F381" s="163">
        <v>31463406.1436802</v>
      </c>
      <c r="G381" s="163">
        <v>26180410.1436802</v>
      </c>
      <c r="H381" s="163">
        <v>5282996</v>
      </c>
      <c r="I381" s="163">
        <v>80946891.565463096</v>
      </c>
      <c r="J381" s="163">
        <v>16568228.350660302</v>
      </c>
      <c r="K381" s="163">
        <v>64378663.214802794</v>
      </c>
      <c r="L381" s="163">
        <v>17829562.650516599</v>
      </c>
      <c r="M381" s="163">
        <v>4101265</v>
      </c>
      <c r="N381" s="163">
        <v>459267</v>
      </c>
      <c r="O381" s="163">
        <v>650912</v>
      </c>
      <c r="P381" s="163">
        <v>12618119</v>
      </c>
      <c r="Q381" s="163">
        <v>8055800</v>
      </c>
      <c r="R381" s="163">
        <v>15854822</v>
      </c>
      <c r="S381" s="163">
        <v>45628674</v>
      </c>
      <c r="T381" s="163">
        <v>51427</v>
      </c>
      <c r="U381" s="163">
        <v>1529000</v>
      </c>
      <c r="V381" s="163">
        <v>15620</v>
      </c>
      <c r="W381" s="163">
        <v>22269</v>
      </c>
      <c r="X381" s="163">
        <v>8167</v>
      </c>
      <c r="Y381" s="163">
        <v>302</v>
      </c>
      <c r="Z381" s="163">
        <v>125</v>
      </c>
      <c r="AA381" s="163">
        <v>0</v>
      </c>
      <c r="AB381" s="163">
        <v>6565</v>
      </c>
      <c r="AC381" s="163">
        <v>13793</v>
      </c>
      <c r="AD381" s="163">
        <v>2477</v>
      </c>
      <c r="AE381" s="163">
        <v>995</v>
      </c>
      <c r="AF381" s="163">
        <v>3377</v>
      </c>
      <c r="AG381" s="163">
        <v>779</v>
      </c>
      <c r="AH381" s="163">
        <v>469775000</v>
      </c>
      <c r="AI381" s="163">
        <v>467728000</v>
      </c>
    </row>
    <row r="382" spans="1:35" x14ac:dyDescent="0.2">
      <c r="B382" t="s">
        <v>527</v>
      </c>
      <c r="C382" s="163">
        <v>28543489631.759739</v>
      </c>
      <c r="D382" s="163">
        <v>16683844471.759745</v>
      </c>
      <c r="E382" s="163">
        <v>9776548682</v>
      </c>
      <c r="F382" s="163">
        <v>3594695999.1125975</v>
      </c>
      <c r="G382" s="163">
        <v>3027774720.8400002</v>
      </c>
      <c r="H382" s="163">
        <v>566921278.27260017</v>
      </c>
      <c r="I382" s="163">
        <v>3692488134.9999957</v>
      </c>
      <c r="J382" s="163">
        <v>2119349334.1727378</v>
      </c>
      <c r="K382" s="163">
        <v>1573138800.8272595</v>
      </c>
      <c r="L382" s="163">
        <v>2483171000</v>
      </c>
      <c r="M382" s="163">
        <v>511135976</v>
      </c>
      <c r="N382" s="163">
        <v>35884207</v>
      </c>
      <c r="O382" s="163">
        <v>75128821.999999985</v>
      </c>
      <c r="P382" s="163">
        <v>1861021991</v>
      </c>
      <c r="Q382" s="163">
        <v>1258368660</v>
      </c>
      <c r="R382" s="163">
        <v>824727818</v>
      </c>
      <c r="S382" s="163">
        <v>5780189256</v>
      </c>
      <c r="T382" s="163">
        <v>4588758</v>
      </c>
      <c r="U382" s="163">
        <v>366449000</v>
      </c>
      <c r="V382" s="163">
        <v>2046538</v>
      </c>
      <c r="W382" s="163">
        <v>1865982</v>
      </c>
      <c r="X382" s="163">
        <v>796888</v>
      </c>
      <c r="Y382" s="163">
        <v>265268</v>
      </c>
      <c r="Z382" s="163">
        <v>237565</v>
      </c>
      <c r="AA382" s="163">
        <v>123400</v>
      </c>
      <c r="AB382" s="163">
        <v>1585290</v>
      </c>
      <c r="AC382" s="163">
        <v>1709679</v>
      </c>
      <c r="AD382" s="163">
        <v>318755</v>
      </c>
      <c r="AE382" s="163">
        <v>117062</v>
      </c>
      <c r="AF382" s="163">
        <v>446197</v>
      </c>
      <c r="AG382" s="163">
        <v>112923</v>
      </c>
      <c r="AH382" s="163">
        <v>53407879467.999992</v>
      </c>
      <c r="AI382" s="163">
        <v>54339621655.999992</v>
      </c>
    </row>
  </sheetData>
  <sheetProtection algorithmName="SHA-512" hashValue="xxthF3ny5WkRUeMSryW/Wm6E/35yjbgimxxbt5RRGPkSNzbgWwUItM8ULSUFIs6Ghz3PVuYK9mfPFribO8bDmw==" saltValue="5+1aS1BpY1Ft1Vt3WvIbE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Macrogegevens</vt:lpstr>
      <vt:lpstr>Balansprognose</vt:lpstr>
      <vt:lpstr>Investeringen &amp; financiering</vt:lpstr>
      <vt:lpstr>Inkomsten &amp; uitgaven</vt:lpstr>
      <vt:lpstr>Data macrogegevens</vt:lpstr>
      <vt:lpstr>Kengetallen 2016</vt:lpstr>
      <vt:lpstr>Data OZB belastingen</vt:lpstr>
      <vt:lpstr>Data investeringen</vt:lpstr>
      <vt:lpstr>Inkomsten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Houdbaarheidstest gemeentefinancien 2013</dc:title>
  <dc:creator>Jan van der Lei</dc:creator>
  <cp:keywords>Jan van der Lei</cp:keywords>
  <cp:lastModifiedBy>Jan van der Lei</cp:lastModifiedBy>
  <dcterms:created xsi:type="dcterms:W3CDTF">2013-03-05T13:22:00Z</dcterms:created>
  <dcterms:modified xsi:type="dcterms:W3CDTF">2018-05-22T13:17:39Z</dcterms:modified>
</cp:coreProperties>
</file>